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/>
  <mc:AlternateContent xmlns:mc="http://schemas.openxmlformats.org/markup-compatibility/2006">
    <mc:Choice Requires="x15">
      <x15ac:absPath xmlns:x15ac="http://schemas.microsoft.com/office/spreadsheetml/2010/11/ac" url="C:\Users\Publico\Downloads\"/>
    </mc:Choice>
  </mc:AlternateContent>
  <xr:revisionPtr revIDLastSave="0" documentId="8_{B12EECA8-392B-46FA-B9D4-E612B6792ACE}" xr6:coauthVersionLast="47" xr6:coauthVersionMax="47" xr10:uidLastSave="{00000000-0000-0000-0000-000000000000}"/>
  <bookViews>
    <workbookView xWindow="-120" yWindow="-120" windowWidth="20730" windowHeight="11160" tabRatio="987" xr2:uid="{00000000-000D-0000-FFFF-FFFF00000000}"/>
  </bookViews>
  <sheets>
    <sheet name="PRESUPUESTO ANUAL 2018 " sheetId="1" r:id="rId1"/>
  </sheets>
  <definedNames>
    <definedName name="_xlnm.Print_Area" localSheetId="0">'PRESUPUESTO ANUAL 2018 '!$A$1:$D$193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G53" i="1"/>
  <c r="F170" i="1"/>
  <c r="F176" i="1"/>
  <c r="F163" i="1"/>
  <c r="F159" i="1"/>
  <c r="F153" i="1"/>
  <c r="F133" i="1"/>
  <c r="F128" i="1"/>
  <c r="F120" i="1"/>
  <c r="F109" i="1"/>
  <c r="F101" i="1"/>
  <c r="F96" i="1"/>
  <c r="F91" i="1"/>
  <c r="F85" i="1"/>
  <c r="F81" i="1"/>
  <c r="F71" i="1"/>
  <c r="F64" i="1"/>
  <c r="F60" i="1"/>
  <c r="E182" i="1"/>
  <c r="H155" i="1"/>
  <c r="H48" i="1"/>
  <c r="H47" i="1"/>
  <c r="E46" i="1"/>
  <c r="F46" i="1"/>
  <c r="F11" i="1"/>
  <c r="F10" i="1"/>
  <c r="F12" i="1"/>
  <c r="E12" i="1"/>
  <c r="D191" i="1"/>
  <c r="C191" i="1"/>
  <c r="C12" i="1"/>
  <c r="C13" i="1"/>
  <c r="D14" i="1"/>
  <c r="C14" i="1"/>
  <c r="C18" i="1"/>
  <c r="C19" i="1"/>
  <c r="C20" i="1"/>
  <c r="C21" i="1"/>
  <c r="C22" i="1"/>
  <c r="C23" i="1"/>
  <c r="C24" i="1"/>
  <c r="C25" i="1"/>
  <c r="D33" i="1"/>
  <c r="D34" i="1"/>
  <c r="D35" i="1"/>
  <c r="D36" i="1"/>
  <c r="D37" i="1"/>
  <c r="C41" i="1"/>
  <c r="C42" i="1"/>
  <c r="C57" i="1"/>
  <c r="C58" i="1"/>
  <c r="C62" i="1"/>
  <c r="C66" i="1"/>
  <c r="C67" i="1"/>
  <c r="C68" i="1"/>
  <c r="C69" i="1"/>
  <c r="C73" i="1"/>
  <c r="C74" i="1"/>
  <c r="C75" i="1"/>
  <c r="C76" i="1"/>
  <c r="C77" i="1"/>
  <c r="C78" i="1"/>
  <c r="C79" i="1"/>
  <c r="C83" i="1"/>
  <c r="C87" i="1"/>
  <c r="C93" i="1"/>
  <c r="C94" i="1"/>
  <c r="C98" i="1"/>
  <c r="C99" i="1"/>
  <c r="C103" i="1"/>
  <c r="C104" i="1"/>
  <c r="C105" i="1"/>
  <c r="C106" i="1"/>
  <c r="C111" i="1"/>
  <c r="C112" i="1"/>
  <c r="C113" i="1"/>
  <c r="C114" i="1"/>
  <c r="C115" i="1"/>
  <c r="C116" i="1"/>
  <c r="C117" i="1"/>
  <c r="C118" i="1"/>
  <c r="C122" i="1"/>
  <c r="C123" i="1"/>
  <c r="C124" i="1"/>
  <c r="C125" i="1"/>
  <c r="C126" i="1"/>
  <c r="C130" i="1"/>
  <c r="C131" i="1"/>
  <c r="C135" i="1"/>
  <c r="C136" i="1"/>
  <c r="C137" i="1"/>
  <c r="C138" i="1"/>
  <c r="C142" i="1"/>
  <c r="C143" i="1"/>
  <c r="C144" i="1"/>
  <c r="C145" i="1"/>
  <c r="C146" i="1"/>
  <c r="C155" i="1"/>
  <c r="C156" i="1"/>
  <c r="C157" i="1"/>
  <c r="C161" i="1"/>
  <c r="C172" i="1"/>
  <c r="C174" i="1"/>
  <c r="C176" i="1"/>
  <c r="D176" i="1"/>
  <c r="G176" i="1" s="1"/>
  <c r="D189" i="1"/>
  <c r="C189" i="1"/>
  <c r="G13" i="1"/>
  <c r="G18" i="1"/>
  <c r="G19" i="1"/>
  <c r="G20" i="1"/>
  <c r="G21" i="1"/>
  <c r="G22" i="1"/>
  <c r="G23" i="1"/>
  <c r="G24" i="1"/>
  <c r="G25" i="1"/>
  <c r="G41" i="1"/>
  <c r="G62" i="1"/>
  <c r="G66" i="1"/>
  <c r="G67" i="1"/>
  <c r="G68" i="1"/>
  <c r="G69" i="1"/>
  <c r="G73" i="1"/>
  <c r="G74" i="1"/>
  <c r="G75" i="1"/>
  <c r="G76" i="1"/>
  <c r="G77" i="1"/>
  <c r="G78" i="1"/>
  <c r="G79" i="1"/>
  <c r="G83" i="1"/>
  <c r="G87" i="1"/>
  <c r="G93" i="1"/>
  <c r="G94" i="1"/>
  <c r="G98" i="1"/>
  <c r="G99" i="1"/>
  <c r="G103" i="1"/>
  <c r="G104" i="1"/>
  <c r="G105" i="1"/>
  <c r="G106" i="1"/>
  <c r="G111" i="1"/>
  <c r="G112" i="1"/>
  <c r="G113" i="1"/>
  <c r="G114" i="1"/>
  <c r="G115" i="1"/>
  <c r="G116" i="1"/>
  <c r="G117" i="1"/>
  <c r="G118" i="1"/>
  <c r="G122" i="1"/>
  <c r="G123" i="1"/>
  <c r="G124" i="1"/>
  <c r="G125" i="1"/>
  <c r="G126" i="1"/>
  <c r="G130" i="1"/>
  <c r="G131" i="1"/>
  <c r="G135" i="1"/>
  <c r="G136" i="1"/>
  <c r="G137" i="1"/>
  <c r="G138" i="1"/>
  <c r="G142" i="1"/>
  <c r="G143" i="1"/>
  <c r="G144" i="1"/>
  <c r="G146" i="1"/>
  <c r="G155" i="1"/>
  <c r="G156" i="1"/>
  <c r="G157" i="1"/>
  <c r="G161" i="1"/>
  <c r="G165" i="1"/>
  <c r="G172" i="1"/>
  <c r="G173" i="1"/>
  <c r="G174" i="1"/>
  <c r="G182" i="1"/>
  <c r="O8" i="1"/>
  <c r="P8" i="1"/>
  <c r="F42" i="1"/>
  <c r="F39" i="1"/>
  <c r="G42" i="1"/>
  <c r="F145" i="1"/>
  <c r="F140" i="1" s="1"/>
  <c r="G145" i="1"/>
  <c r="F150" i="1"/>
  <c r="G150" i="1"/>
  <c r="O10" i="1"/>
  <c r="P10" i="1"/>
  <c r="O44" i="1"/>
  <c r="F48" i="1"/>
  <c r="F191" i="1"/>
  <c r="E191" i="1"/>
  <c r="E174" i="1"/>
  <c r="E173" i="1"/>
  <c r="E172" i="1"/>
  <c r="E176" i="1" s="1"/>
  <c r="E170" i="1"/>
  <c r="E165" i="1"/>
  <c r="E163" i="1" s="1"/>
  <c r="E161" i="1"/>
  <c r="E159" i="1"/>
  <c r="E157" i="1"/>
  <c r="E156" i="1"/>
  <c r="E155" i="1"/>
  <c r="E153" i="1" s="1"/>
  <c r="E146" i="1"/>
  <c r="E144" i="1"/>
  <c r="E143" i="1"/>
  <c r="E142" i="1"/>
  <c r="E138" i="1"/>
  <c r="E137" i="1"/>
  <c r="E136" i="1"/>
  <c r="E135" i="1"/>
  <c r="E130" i="1"/>
  <c r="E128" i="1" s="1"/>
  <c r="E126" i="1"/>
  <c r="E125" i="1"/>
  <c r="E124" i="1"/>
  <c r="E123" i="1"/>
  <c r="E122" i="1"/>
  <c r="E120" i="1" s="1"/>
  <c r="E118" i="1"/>
  <c r="E117" i="1"/>
  <c r="E116" i="1"/>
  <c r="E115" i="1"/>
  <c r="E114" i="1"/>
  <c r="E113" i="1"/>
  <c r="E112" i="1"/>
  <c r="E111" i="1"/>
  <c r="E109" i="1" s="1"/>
  <c r="E106" i="1"/>
  <c r="E105" i="1"/>
  <c r="E104" i="1"/>
  <c r="E103" i="1"/>
  <c r="E101" i="1"/>
  <c r="E99" i="1"/>
  <c r="E98" i="1"/>
  <c r="E96" i="1"/>
  <c r="E94" i="1"/>
  <c r="E93" i="1"/>
  <c r="E91" i="1" s="1"/>
  <c r="E87" i="1"/>
  <c r="E85" i="1" s="1"/>
  <c r="E83" i="1"/>
  <c r="E81" i="1"/>
  <c r="E79" i="1"/>
  <c r="E78" i="1"/>
  <c r="E77" i="1"/>
  <c r="E76" i="1"/>
  <c r="E75" i="1"/>
  <c r="E74" i="1"/>
  <c r="E73" i="1"/>
  <c r="E71" i="1" s="1"/>
  <c r="E69" i="1"/>
  <c r="E68" i="1"/>
  <c r="E67" i="1"/>
  <c r="E66" i="1"/>
  <c r="E64" i="1"/>
  <c r="E62" i="1"/>
  <c r="E60" i="1"/>
  <c r="E58" i="1"/>
  <c r="F58" i="1"/>
  <c r="G58" i="1"/>
  <c r="E57" i="1"/>
  <c r="E55" i="1"/>
  <c r="F57" i="1"/>
  <c r="F47" i="1"/>
  <c r="G47" i="1"/>
  <c r="E41" i="1"/>
  <c r="F37" i="1"/>
  <c r="F36" i="1"/>
  <c r="G36" i="1"/>
  <c r="F35" i="1"/>
  <c r="G35" i="1"/>
  <c r="F34" i="1"/>
  <c r="G34" i="1"/>
  <c r="F33" i="1"/>
  <c r="G33" i="1"/>
  <c r="E25" i="1"/>
  <c r="E24" i="1"/>
  <c r="E23" i="1"/>
  <c r="E22" i="1"/>
  <c r="E21" i="1"/>
  <c r="E20" i="1"/>
  <c r="E19" i="1"/>
  <c r="E18" i="1"/>
  <c r="F14" i="1"/>
  <c r="E14" i="1"/>
  <c r="E13" i="1"/>
  <c r="M47" i="1"/>
  <c r="M50" i="1"/>
  <c r="J1" i="1"/>
  <c r="J2" i="1"/>
  <c r="P1" i="1"/>
  <c r="Q1" i="1"/>
  <c r="K3" i="1"/>
  <c r="T7" i="1"/>
  <c r="K10" i="1"/>
  <c r="Q2" i="1"/>
  <c r="L10" i="1"/>
  <c r="Q3" i="1"/>
  <c r="M10" i="1"/>
  <c r="Q5" i="1"/>
  <c r="K11" i="1"/>
  <c r="Q13" i="1"/>
  <c r="L11" i="1"/>
  <c r="Q14" i="1"/>
  <c r="M11" i="1"/>
  <c r="Q15" i="1"/>
  <c r="P12" i="1"/>
  <c r="Q12" i="1"/>
  <c r="Q16" i="1"/>
  <c r="K13" i="1"/>
  <c r="L13" i="1"/>
  <c r="K18" i="1"/>
  <c r="L18" i="1"/>
  <c r="M18" i="1"/>
  <c r="K23" i="1"/>
  <c r="K28" i="1"/>
  <c r="K31" i="1"/>
  <c r="K26" i="1"/>
  <c r="L26" i="1"/>
  <c r="M29" i="1"/>
  <c r="K33" i="1"/>
  <c r="L33" i="1"/>
  <c r="M33" i="1"/>
  <c r="K34" i="1"/>
  <c r="L34" i="1"/>
  <c r="M34" i="1"/>
  <c r="K35" i="1"/>
  <c r="L35" i="1"/>
  <c r="M35" i="1"/>
  <c r="K36" i="1"/>
  <c r="L36" i="1"/>
  <c r="M36" i="1"/>
  <c r="K37" i="1"/>
  <c r="L37" i="1"/>
  <c r="M37" i="1"/>
  <c r="V41" i="1"/>
  <c r="W41" i="1"/>
  <c r="V55" i="1"/>
  <c r="L43" i="1"/>
  <c r="J118" i="1"/>
  <c r="G14" i="1"/>
  <c r="E145" i="1"/>
  <c r="D11" i="1"/>
  <c r="D180" i="1"/>
  <c r="D184" i="1"/>
  <c r="K41" i="1"/>
  <c r="E10" i="1"/>
  <c r="D190" i="1"/>
  <c r="C190" i="1"/>
  <c r="G191" i="1"/>
  <c r="G57" i="1"/>
  <c r="F55" i="1"/>
  <c r="D31" i="1"/>
  <c r="L41" i="1"/>
  <c r="Q7" i="1"/>
  <c r="E48" i="1"/>
  <c r="E44" i="1"/>
  <c r="G48" i="1"/>
  <c r="F148" i="1"/>
  <c r="E150" i="1"/>
  <c r="E148" i="1"/>
  <c r="F27" i="1"/>
  <c r="E42" i="1"/>
  <c r="E39" i="1"/>
  <c r="O46" i="1"/>
  <c r="O47" i="1"/>
  <c r="O48" i="1"/>
  <c r="O50" i="1"/>
  <c r="G37" i="1"/>
  <c r="F180" i="1"/>
  <c r="E11" i="1"/>
  <c r="E180" i="1"/>
  <c r="G11" i="1"/>
  <c r="F31" i="1"/>
  <c r="E52" i="1"/>
  <c r="C11" i="1"/>
  <c r="C180" i="1"/>
  <c r="E133" i="1"/>
  <c r="G12" i="1"/>
  <c r="F44" i="1"/>
  <c r="G50" i="1"/>
  <c r="G46" i="1"/>
  <c r="E53" i="1"/>
  <c r="F189" i="1"/>
  <c r="G189" i="1"/>
  <c r="E189" i="1"/>
  <c r="E178" i="1"/>
  <c r="E184" i="1"/>
  <c r="E27" i="1"/>
  <c r="F52" i="1"/>
  <c r="E50" i="1"/>
  <c r="G180" i="1"/>
  <c r="F184" i="1"/>
  <c r="G184" i="1"/>
  <c r="F178" i="1"/>
  <c r="F190" i="1"/>
  <c r="F187" i="1"/>
  <c r="C31" i="1"/>
  <c r="Y31" i="1"/>
  <c r="D167" i="1"/>
  <c r="E31" i="1"/>
  <c r="G31" i="1"/>
  <c r="D10" i="1"/>
  <c r="Q11" i="1"/>
  <c r="D27" i="1"/>
  <c r="G10" i="1"/>
  <c r="C10" i="1"/>
  <c r="C27" i="1"/>
  <c r="C167" i="1"/>
  <c r="D188" i="1"/>
  <c r="C188" i="1"/>
  <c r="E187" i="1"/>
  <c r="G190" i="1"/>
  <c r="E190" i="1"/>
  <c r="G52" i="1"/>
  <c r="F50" i="1"/>
  <c r="F167" i="1"/>
  <c r="G167" i="1"/>
  <c r="F188" i="1"/>
  <c r="D187" i="1"/>
  <c r="G27" i="1"/>
  <c r="C187" i="1"/>
  <c r="C193" i="1"/>
  <c r="D193" i="1"/>
  <c r="G187" i="1"/>
  <c r="E188" i="1"/>
  <c r="E193" i="1"/>
  <c r="G188" i="1"/>
  <c r="F193" i="1"/>
  <c r="G193" i="1"/>
  <c r="M41" i="1" l="1"/>
  <c r="E140" i="1"/>
  <c r="E167" i="1" s="1"/>
  <c r="M42" i="1" l="1"/>
  <c r="O41" i="1"/>
  <c r="P41" i="1" s="1"/>
  <c r="L44" i="1" s="1"/>
  <c r="L47" i="1" l="1"/>
  <c r="M43" i="1"/>
  <c r="L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Max Paniagua Sanchez</author>
    <author>Harold</author>
  </authors>
  <commentList>
    <comment ref="D10" authorId="0" shapeId="0" xr:uid="{00000000-0006-0000-0000-000001000000}">
      <text>
        <r>
          <rPr>
            <sz val="9"/>
            <color indexed="8"/>
            <rFont val="Tahoma"/>
            <family val="2"/>
          </rPr>
          <t xml:space="preserve">BASE 1000 ACTIVOS
AUMENTO DE 400 POR MENSUALIDAD VER INDICE BANCO CENTRAL CELDA N4. ADEMAS 100 NUEVOS INCORPORADOS POR AÑO.
</t>
        </r>
      </text>
    </comment>
    <comment ref="F10" authorId="0" shapeId="0" xr:uid="{00000000-0006-0000-0000-000002000000}">
      <text>
        <r>
          <rPr>
            <sz val="9"/>
            <color indexed="8"/>
            <rFont val="Tahoma"/>
            <family val="2"/>
          </rPr>
          <t xml:space="preserve">BASE 1300 ACTIVOS. 9.000 POR CUOTA, AUMENTO DE 400 POR MENSUALIDAD VER INDICE BANCO CENTRAL CELDA N4. ADEMAS 100 NUEVOS INCORPORADOS POR AÑO.
</t>
        </r>
      </text>
    </comment>
    <comment ref="I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la cuota son 9000 y manejar 1300 asociados</t>
        </r>
      </text>
    </comment>
    <comment ref="D11" authorId="0" shapeId="0" xr:uid="{00000000-0006-0000-0000-000004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1000 COLONES POR MES
</t>
        </r>
      </text>
    </comment>
    <comment ref="F11" authorId="0" shapeId="0" xr:uid="{00000000-0006-0000-0000-000005000000}">
      <text>
        <r>
          <rPr>
            <sz val="9"/>
            <color indexed="8"/>
            <rFont val="Tahoma"/>
            <family val="2"/>
          </rPr>
          <t xml:space="preserve">BASE 1300 ACTIVOS. 9.000 POR CUOTA, AUMENTO DE 400 POR MENSUALIDAD VER INDICE BANCO CENTRAL CELDA N4. ADEMAS 100 NUEVOS INCORPORADOS POR AÑO.
</t>
        </r>
      </text>
    </comment>
    <comment ref="I1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así como esta
</t>
        </r>
      </text>
    </comment>
    <comment ref="D12" authorId="0" shapeId="0" xr:uid="{00000000-0006-0000-0000-000007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MONTO ESTIMADO DE COBRO DE CUENTAS POR COBRAR PARA EL PERIODO</t>
        </r>
      </text>
    </comment>
    <comment ref="F12" authorId="0" shapeId="0" xr:uid="{00000000-0006-0000-0000-000008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MONTO ESTIMADO DE COBRO DE CUENTAS POR COBRAR PARA EL PERIODO</t>
        </r>
      </text>
    </comment>
    <comment ref="D13" authorId="0" shapeId="0" xr:uid="{00000000-0006-0000-0000-000009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50 MIL COLONES POR DERECHOS
</t>
        </r>
      </text>
    </comment>
    <comment ref="F13" authorId="0" shapeId="0" xr:uid="{00000000-0006-0000-0000-00000A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50 MIL COLONES POR DERECHOS
</t>
        </r>
      </text>
    </comment>
    <comment ref="D14" authorId="0" shapeId="0" xr:uid="{00000000-0006-0000-0000-00000B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35 MIL COLONES POR DERECHO
</t>
        </r>
      </text>
    </comment>
    <comment ref="F14" authorId="0" shapeId="0" xr:uid="{00000000-0006-0000-0000-00000C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35 MIL COLONES POR DERECHO
</t>
        </r>
      </text>
    </comment>
    <comment ref="D18" authorId="0" shapeId="0" xr:uid="{00000000-0006-0000-0000-00000D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 ESPERA DAR AL MENOS 10 CURSOS
</t>
        </r>
      </text>
    </comment>
    <comment ref="F18" authorId="0" shapeId="0" xr:uid="{00000000-0006-0000-0000-00000E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 ESPERA DAR AL MENOS 10 CURSOS
</t>
        </r>
      </text>
    </comment>
    <comment ref="D19" authorId="0" shapeId="0" xr:uid="{00000000-0006-0000-0000-00000F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MULTAS POR PAGOS TARDIOS SEGÚN LEY
</t>
        </r>
      </text>
    </comment>
    <comment ref="F19" authorId="0" shapeId="0" xr:uid="{00000000-0006-0000-0000-000010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MULTAS POR PAGOS TARDIOS SEGÚN LEY
</t>
        </r>
      </text>
    </comment>
    <comment ref="D20" authorId="0" shapeId="0" xr:uid="{00000000-0006-0000-0000-000011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COSTO 4000 COLONES CADA UNA
</t>
        </r>
      </text>
    </comment>
    <comment ref="F20" authorId="0" shapeId="0" xr:uid="{00000000-0006-0000-0000-000012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COSTO 4000 COLONES CADA UNA
</t>
        </r>
      </text>
    </comment>
    <comment ref="D21" authorId="0" shapeId="0" xr:uid="{00000000-0006-0000-0000-000013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VARIAN LOS PRECIOS DE ACUERDO AL TAMAÑO</t>
        </r>
      </text>
    </comment>
    <comment ref="F21" authorId="0" shapeId="0" xr:uid="{00000000-0006-0000-0000-000014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VARIAN LOS PRECIOS DE ACUERDO AL TAMAÑO</t>
        </r>
      </text>
    </comment>
    <comment ref="D22" authorId="0" shapeId="0" xr:uid="{00000000-0006-0000-0000-000015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COSTO DE 3000 COLONES CADA UNO</t>
        </r>
      </text>
    </comment>
    <comment ref="F22" authorId="0" shapeId="0" xr:uid="{00000000-0006-0000-0000-000016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COSTO DE 3000 COLONES CADA UNO</t>
        </r>
      </text>
    </comment>
    <comment ref="D23" authorId="0" shapeId="0" xr:uid="{00000000-0006-0000-0000-000017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COSTO 3 MIL COLONES CADA UNA
</t>
        </r>
      </text>
    </comment>
    <comment ref="F23" authorId="0" shapeId="0" xr:uid="{00000000-0006-0000-0000-000018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COSTO 3 MIL COLONES CADA UNA
</t>
        </r>
      </text>
    </comment>
    <comment ref="D25" authorId="0" shapeId="0" xr:uid="{00000000-0006-0000-0000-000019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PRODUCTO DE LOS DINEROS EN BANCOS</t>
        </r>
      </text>
    </comment>
    <comment ref="F25" authorId="0" shapeId="0" xr:uid="{00000000-0006-0000-0000-00001A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PRODUCTO DE LOS DINEROS EN BANCOS</t>
        </r>
      </text>
    </comment>
    <comment ref="D27" authorId="0" shapeId="0" xr:uid="{00000000-0006-0000-0000-00001B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TOTAL DE INGRESOS INCLUYENDO FONDO DE MUTUALIDAD
</t>
        </r>
      </text>
    </comment>
    <comment ref="F27" authorId="0" shapeId="0" xr:uid="{00000000-0006-0000-0000-00001C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TOTAL DE INGRESOS INCLUYENDO FONDO DE MUTUALIDAD
</t>
        </r>
      </text>
    </comment>
    <comment ref="I46" authorId="1" shapeId="0" xr:uid="{00000000-0006-0000-0000-00001D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este porcentaje es opcional ya que tienen salio más del mínimo</t>
        </r>
      </text>
    </comment>
    <comment ref="D52" authorId="0" shapeId="0" xr:uid="{00000000-0006-0000-0000-00001E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CUOTA PATRONAL 26,33%
</t>
        </r>
      </text>
    </comment>
    <comment ref="F52" authorId="0" shapeId="0" xr:uid="{00000000-0006-0000-0000-00001F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CUOTA PATRONAL 26,33%
</t>
        </r>
      </text>
    </comment>
    <comment ref="F53" authorId="2" shapeId="0" xr:uid="{00000000-0006-0000-0000-000020000000}">
      <text>
        <r>
          <rPr>
            <b/>
            <sz val="9"/>
            <color indexed="81"/>
            <rFont val="Tahoma"/>
            <family val="2"/>
          </rPr>
          <t>Harold:</t>
        </r>
        <r>
          <rPr>
            <sz val="9"/>
            <color indexed="81"/>
            <rFont val="Tahoma"/>
            <family val="2"/>
          </rPr>
          <t xml:space="preserve">
Areglo de pago de termina en diciembre de 2018</t>
        </r>
      </text>
    </comment>
    <comment ref="I53" authorId="1" shapeId="0" xr:uid="{00000000-0006-0000-0000-000021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Diciembre 2018 4320000</t>
        </r>
      </text>
    </comment>
    <comment ref="D57" authorId="0" shapeId="0" xr:uid="{00000000-0006-0000-0000-000022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SE PREVE EL PAGO 30 MIL COLONES A MES POR CADA MIEMBRO DE JD</t>
        </r>
      </text>
    </comment>
    <comment ref="D58" authorId="0" shapeId="0" xr:uid="{00000000-0006-0000-0000-000023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ATENCION DE SESIONES DE JUNTA ORDINARIAS Y EXTRAORDINARIAS</t>
        </r>
      </text>
    </comment>
    <comment ref="F58" authorId="0" shapeId="0" xr:uid="{00000000-0006-0000-0000-000024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ATENCION DE SESIONES DE JUNTA ORDINARIAS Y EXTRAORDINARIAS</t>
        </r>
      </text>
    </comment>
    <comment ref="I68" authorId="1" shapeId="0" xr:uid="{00000000-0006-0000-0000-000025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Dejar como esta</t>
        </r>
      </text>
    </comment>
    <comment ref="I69" authorId="1" shapeId="0" xr:uid="{00000000-0006-0000-0000-000026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al 50%</t>
        </r>
      </text>
    </comment>
    <comment ref="D73" authorId="0" shapeId="0" xr:uid="{00000000-0006-0000-0000-000027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F73" authorId="0" shapeId="0" xr:uid="{00000000-0006-0000-0000-000028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I73" authorId="1" shapeId="0" xr:uid="{00000000-0006-0000-0000-000029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en un 50 %</t>
        </r>
      </text>
    </comment>
    <comment ref="F74" authorId="0" shapeId="0" xr:uid="{00000000-0006-0000-0000-00002A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F75" authorId="0" shapeId="0" xr:uid="{00000000-0006-0000-0000-00002B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F76" authorId="0" shapeId="0" xr:uid="{00000000-0006-0000-0000-00002C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F77" authorId="0" shapeId="0" xr:uid="{00000000-0006-0000-0000-00002D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F78" authorId="0" shapeId="0" xr:uid="{00000000-0006-0000-0000-00002E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SEGÚN LOS PLANES Y PROYECTOS DE LA COMISION
</t>
        </r>
      </text>
    </comment>
    <comment ref="D83" authorId="0" shapeId="0" xr:uid="{00000000-0006-0000-0000-00002F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PARA CUMPLIMIENTO PLAN ANUAL
</t>
        </r>
      </text>
    </comment>
    <comment ref="F83" authorId="0" shapeId="0" xr:uid="{00000000-0006-0000-0000-000030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PARA CUMPLIMIENTO PLAN ANUAL
</t>
        </r>
      </text>
    </comment>
    <comment ref="I83" authorId="1" shapeId="0" xr:uid="{00000000-0006-0000-0000-000031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Establecido por ley no contrato es para acciones</t>
        </r>
      </text>
    </comment>
    <comment ref="D87" authorId="0" shapeId="0" xr:uid="{00000000-0006-0000-0000-000032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INCLUYE MOBILIARIO Y ACONDICIONAMIENTO
</t>
        </r>
      </text>
    </comment>
    <comment ref="F87" authorId="0" shapeId="0" xr:uid="{00000000-0006-0000-0000-000033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 xml:space="preserve">INCLUYE MOBILIARIO Y ACONDICIONAMIENTO
</t>
        </r>
      </text>
    </comment>
    <comment ref="D93" authorId="0" shapeId="0" xr:uid="{00000000-0006-0000-0000-000034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GASTOS POR ALIMENTACION Y HONORARIOS PROFESORES</t>
        </r>
      </text>
    </comment>
    <comment ref="F93" authorId="0" shapeId="0" xr:uid="{00000000-0006-0000-0000-000035000000}">
      <text>
        <r>
          <rPr>
            <b/>
            <sz val="9"/>
            <color indexed="8"/>
            <rFont val="Tahoma"/>
            <family val="2"/>
          </rPr>
          <t xml:space="preserve">USER:
</t>
        </r>
        <r>
          <rPr>
            <sz val="9"/>
            <color indexed="8"/>
            <rFont val="Tahoma"/>
            <family val="2"/>
          </rPr>
          <t>GASTOS POR ALIMENTACION Y HONORARIOS PROFESORES</t>
        </r>
      </text>
    </comment>
    <comment ref="I94" authorId="1" shapeId="0" xr:uid="{00000000-0006-0000-0000-000036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al 50%</t>
        </r>
      </text>
    </comment>
    <comment ref="I99" authorId="1" shapeId="0" xr:uid="{00000000-0006-0000-0000-000037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no se coloca fechas debido a que la junta lo define</t>
        </r>
      </text>
    </comment>
    <comment ref="I103" authorId="1" shapeId="0" xr:uid="{00000000-0006-0000-0000-000038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al 50%</t>
        </r>
      </text>
    </comment>
    <comment ref="I135" authorId="1" shapeId="0" xr:uid="{00000000-0006-0000-0000-000039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Dejar</t>
        </r>
      </text>
    </comment>
    <comment ref="I142" authorId="1" shapeId="0" xr:uid="{00000000-0006-0000-0000-00003A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No se puede defunir según demanda</t>
        </r>
      </text>
    </comment>
    <comment ref="I155" authorId="1" shapeId="0" xr:uid="{00000000-0006-0000-0000-00003B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25%</t>
        </r>
      </text>
    </comment>
    <comment ref="I161" authorId="1" shapeId="0" xr:uid="{00000000-0006-0000-0000-00003C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dejar</t>
        </r>
      </text>
    </comment>
    <comment ref="I172" authorId="1" shapeId="0" xr:uid="{00000000-0006-0000-0000-00003D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dejar</t>
        </r>
      </text>
    </comment>
    <comment ref="I173" authorId="1" shapeId="0" xr:uid="{00000000-0006-0000-0000-00003E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bajar 50 %</t>
        </r>
      </text>
    </comment>
    <comment ref="I174" authorId="1" shapeId="0" xr:uid="{00000000-0006-0000-0000-00003F000000}">
      <text>
        <r>
          <rPr>
            <b/>
            <sz val="9"/>
            <color indexed="81"/>
            <rFont val="Tahoma"/>
            <family val="2"/>
          </rPr>
          <t>Max Paniagua Sanchez:</t>
        </r>
        <r>
          <rPr>
            <sz val="9"/>
            <color indexed="81"/>
            <rFont val="Tahoma"/>
            <family val="2"/>
          </rPr>
          <t xml:space="preserve">
dejar</t>
        </r>
      </text>
    </comment>
  </commentList>
</comments>
</file>

<file path=xl/sharedStrings.xml><?xml version="1.0" encoding="utf-8"?>
<sst xmlns="http://schemas.openxmlformats.org/spreadsheetml/2006/main" count="390" uniqueCount="283">
  <si>
    <t xml:space="preserve"> </t>
  </si>
  <si>
    <t>colegiatura</t>
  </si>
  <si>
    <t>Inflación BANCO CENTRAL</t>
  </si>
  <si>
    <t>PRESUPUESTO AÑO 2018</t>
  </si>
  <si>
    <t>ACTIVOS</t>
  </si>
  <si>
    <t>Activos</t>
  </si>
  <si>
    <t>Meta 2016</t>
  </si>
  <si>
    <t xml:space="preserve">COLEGIO DE BIÓLOGOS DE COSTA RICA </t>
  </si>
  <si>
    <t>1 incorp</t>
  </si>
  <si>
    <t>Proyección 2017</t>
  </si>
  <si>
    <t xml:space="preserve">CÓDIGO </t>
  </si>
  <si>
    <t>DETALLE</t>
  </si>
  <si>
    <t>ESCENARIO 1 ( ANTERIOR)</t>
  </si>
  <si>
    <t>PRESUPUESTO 2018</t>
  </si>
  <si>
    <t>VARIACIONES ANUALES</t>
  </si>
  <si>
    <t>RECOMENDACIONES</t>
  </si>
  <si>
    <t>2 incorp</t>
  </si>
  <si>
    <t>Colegiatura</t>
  </si>
  <si>
    <t>MENSUAL</t>
  </si>
  <si>
    <t>ANUAL 2017</t>
  </si>
  <si>
    <t>ANUAL 2018</t>
  </si>
  <si>
    <t>3 incorp</t>
  </si>
  <si>
    <t xml:space="preserve"> PROGRAMA DE INGRESOS </t>
  </si>
  <si>
    <t>0.01</t>
  </si>
  <si>
    <t>PROGRAMA DE INGRESOS BÁSICOS</t>
  </si>
  <si>
    <t>0.01.01</t>
  </si>
  <si>
    <t>COLEGIATURAS (80 % de 1.300 socios activos, cuota de 8.000)</t>
  </si>
  <si>
    <t>80%</t>
  </si>
  <si>
    <t>Confirmar la cantidad de socios activos y definir un porcentaje meta que sea realista pero optimista de recuperación.  Ej: meta recuperar el 90% de esas cuotas.</t>
  </si>
  <si>
    <t>0.01.02</t>
  </si>
  <si>
    <t>CUOTA FONDO DE MUTUALIDAD (80% de 1.300 socios activos, cuota de 1.000)</t>
  </si>
  <si>
    <t>0.01.03</t>
  </si>
  <si>
    <t>ESTIMACION DE RECUPERACION DE SUSPENDIDOS (20% de saldo al 10/02/2018)</t>
  </si>
  <si>
    <t>20%</t>
  </si>
  <si>
    <t>Anotar la cantidad de acuerdo al % meta a recuperar de las cuotas por cobrara actuales que se definirá para el área de cobros.</t>
  </si>
  <si>
    <t>MUTUALIDAD</t>
  </si>
  <si>
    <t>0.01.04</t>
  </si>
  <si>
    <t xml:space="preserve">DERECHOS DE  INCORPORACIONES </t>
  </si>
  <si>
    <t>0.01.05</t>
  </si>
  <si>
    <t>DERECHOS DE  REINCORPORACIÓN</t>
  </si>
  <si>
    <t xml:space="preserve"> incorporacion</t>
  </si>
  <si>
    <t>0.02</t>
  </si>
  <si>
    <t>PROGRAMA  OTROS INGRESOS</t>
  </si>
  <si>
    <t>reincorporacion</t>
  </si>
  <si>
    <t>0.02.01</t>
  </si>
  <si>
    <t xml:space="preserve">CURSOS DE ACTUALIZACIÓN PROFESIONAL </t>
  </si>
  <si>
    <t>0.02.02</t>
  </si>
  <si>
    <t xml:space="preserve">INGRESOS POR RECARGOS POR MULTAS </t>
  </si>
  <si>
    <t>0.02.03</t>
  </si>
  <si>
    <t xml:space="preserve">INGRESOS POR BITÁCORAS </t>
  </si>
  <si>
    <t>0.02.04</t>
  </si>
  <si>
    <t>INGRESOS POR SELLOS</t>
  </si>
  <si>
    <t>0.02.05</t>
  </si>
  <si>
    <t>INGRESOS POR CARNETS</t>
  </si>
  <si>
    <t>0.02.06</t>
  </si>
  <si>
    <t xml:space="preserve">INGRESOS POR CERTIFICACIONES </t>
  </si>
  <si>
    <t>0.02.07</t>
  </si>
  <si>
    <t>INGRESOS POR CERTIFICACIONES POR REGENCIAS</t>
  </si>
  <si>
    <t>0.02.08</t>
  </si>
  <si>
    <t>INGRESOS POR INTERESES BANCARIOS</t>
  </si>
  <si>
    <t>CADA CERTIF</t>
  </si>
  <si>
    <t>TOTAL INGRESOS</t>
  </si>
  <si>
    <t xml:space="preserve"> PROGRAMA DE REMUNERACIONES</t>
  </si>
  <si>
    <t>1.01</t>
  </si>
  <si>
    <t>REMUNERACIONES BÁSICAS</t>
  </si>
  <si>
    <t>PREVISION AUMENTO SEMESTRAL</t>
  </si>
  <si>
    <t>ANUALIDADES</t>
  </si>
  <si>
    <t>1.01.01</t>
  </si>
  <si>
    <t>SECRETARIA RECEPCIONISTA</t>
  </si>
  <si>
    <t>Solicitar a la parte legal una liquidación proyectada para valorar esa opción y provisiones las prestaciones derivadas de la misma</t>
  </si>
  <si>
    <t>XARIE</t>
  </si>
  <si>
    <t>1.01.02</t>
  </si>
  <si>
    <t>ENCARGADO DE GESTION DE COBRO ADMINISTRATIVO</t>
  </si>
  <si>
    <t>EFFENDI</t>
  </si>
  <si>
    <t>1.01.03</t>
  </si>
  <si>
    <t xml:space="preserve">ASISTENTE ADMINISTRATIVA </t>
  </si>
  <si>
    <t>RINA</t>
  </si>
  <si>
    <t>1.01.04</t>
  </si>
  <si>
    <t>AUXILIAR DE COBRO ADMINISTRATIVO</t>
  </si>
  <si>
    <t>ALEJANDRO</t>
  </si>
  <si>
    <t>1.01.05</t>
  </si>
  <si>
    <t>ENCARGADO DE ARCHIVO</t>
  </si>
  <si>
    <t>KARLA</t>
  </si>
  <si>
    <t>1.02</t>
  </si>
  <si>
    <t>REMUNERACIONES HORAS EXTRAS</t>
  </si>
  <si>
    <t>1.02.01</t>
  </si>
  <si>
    <t>HORAS EXTRA</t>
  </si>
  <si>
    <t>1.02.02</t>
  </si>
  <si>
    <t>ARREGLO DE HORAS EXTRAS</t>
  </si>
  <si>
    <t xml:space="preserve">TOTAL SALARIOS </t>
  </si>
  <si>
    <t xml:space="preserve"> PROGRAMA DE PROVISIÓN Y RESERVAS</t>
  </si>
  <si>
    <t>TOTAL AUMENTO ANUAL</t>
  </si>
  <si>
    <t>1.03.01</t>
  </si>
  <si>
    <t xml:space="preserve">RESERVA AUMENTO SALARIAL ANUAL 2018 (2.43 % para Administradora y 1.5% para el resto del personal) </t>
  </si>
  <si>
    <t>2.43 % rina y el resto 1.15%</t>
  </si>
  <si>
    <t>Determinar el % que se decide realizar. 2.43 % rina y el resto 1.15%</t>
  </si>
  <si>
    <t>CALCULAR AL 1%</t>
  </si>
  <si>
    <t>1.03.02</t>
  </si>
  <si>
    <t>PROVISIÓN PRÉSTACIONES LEGALES ( ANUALIDAD )</t>
  </si>
  <si>
    <t>Determinar el monto real de las mismas y detallar por funcionario.</t>
  </si>
  <si>
    <t>RESERVA MENSUAL</t>
  </si>
  <si>
    <t>1.03.03</t>
  </si>
  <si>
    <t>DÉCIMO TERCER MES (AGUINALDOS)</t>
  </si>
  <si>
    <t>2.01</t>
  </si>
  <si>
    <t xml:space="preserve">  CONTRIBUCIONES PATRONALES </t>
  </si>
  <si>
    <t>2.01.01</t>
  </si>
  <si>
    <t>CAJA COSTARRICENSE DEL SEGURO SOCIAL</t>
  </si>
  <si>
    <t>AGUINALDOS</t>
  </si>
  <si>
    <t>2.01.02</t>
  </si>
  <si>
    <t>Arreglo Pago CCSS</t>
  </si>
  <si>
    <t>Indicar en qué fecha se termina este arreglo de pago y el saldo de la misma a Enero 2018.</t>
  </si>
  <si>
    <t>2.02</t>
  </si>
  <si>
    <t>DIETAS Y ATENCION SESIONES JUNTA DIRECTIVA</t>
  </si>
  <si>
    <t>2.02.01</t>
  </si>
  <si>
    <t xml:space="preserve">CUOTAS SUVBENCIONADAS DE MIEMBROS DE J.D. Y FISCALIA (9.000.00 x membro por mes) </t>
  </si>
  <si>
    <t>2.02.02</t>
  </si>
  <si>
    <t>ATENCION EN SESIONES DE JUNTA DIRECTIVA</t>
  </si>
  <si>
    <t>PROGRAMA DE SUPERVISION DEL EJERCICIO PROFESIONAL</t>
  </si>
  <si>
    <t>3.01</t>
  </si>
  <si>
    <t>FISCALIZACION DEL EJERCICIO LEGAL DE LA PROFESION</t>
  </si>
  <si>
    <t>PROGRAMA DE GESTION DE LA COMUNICACION Y PROYECCION INSTITUCIONAL</t>
  </si>
  <si>
    <t>PROMOCIÓN Y PUBLICIDAD</t>
  </si>
  <si>
    <t>DIA MUNDIAL DEL AMBIENTE</t>
  </si>
  <si>
    <t>FOROS</t>
  </si>
  <si>
    <t>Indicar cuales serían los foros y en qué meses se harían.</t>
  </si>
  <si>
    <t>ATENCIÓN EN REUNIONES VARIAS</t>
  </si>
  <si>
    <t>Indicar cuales serían las reuniones y en qué meses se harían.</t>
  </si>
  <si>
    <t>PROGRAMA DE PLANECION Y DESARROLLO DE PROYECTOS</t>
  </si>
  <si>
    <t>5.01</t>
  </si>
  <si>
    <t>COMISIÓN DE VIDA SILVESTRE Y REGENCIAS BIOLÓGICAS</t>
  </si>
  <si>
    <t>Valorar cuales comisiones requerirán colaboración económica,e indicar donde serían las reuniones y en qué meses se harían.</t>
  </si>
  <si>
    <t>5.02</t>
  </si>
  <si>
    <t>COMISION CITES</t>
  </si>
  <si>
    <t>5.03</t>
  </si>
  <si>
    <t>COMISIÓN DE BIOTECNOLOGÍA</t>
  </si>
  <si>
    <t>5.04</t>
  </si>
  <si>
    <t>COMISIÓN DE BIENESTAR ANIMAL</t>
  </si>
  <si>
    <t>5.05</t>
  </si>
  <si>
    <t>COMISIÓN FINANCIERA</t>
  </si>
  <si>
    <t>5.06</t>
  </si>
  <si>
    <t>COMISION DE PERFILES CURRICULARES</t>
  </si>
  <si>
    <t>5.07</t>
  </si>
  <si>
    <t>COMISION DE REFORMAS LEGALES</t>
  </si>
  <si>
    <t>PROGRAMA DE GESTION AMBIENTAL INSTITUCIONAL</t>
  </si>
  <si>
    <t>6.01</t>
  </si>
  <si>
    <t>INVERSIONES EN PGAI</t>
  </si>
  <si>
    <t>Indicar el tipo de contrato y los pagos que origina.</t>
  </si>
  <si>
    <t>PROGRAMA DE ARCHIVO Y EXPEDIENTE DIGITAL</t>
  </si>
  <si>
    <t>7.01</t>
  </si>
  <si>
    <t>INVERSIONES EN ARCHIVO</t>
  </si>
  <si>
    <t>Evaluar si realmente procede este gasto y por este monto, sería recomendable mostrar un plan de trabajo.</t>
  </si>
  <si>
    <t xml:space="preserve"> PROGRAMA DE CAPACITACIÓN Y EDUCACION CONTINUA</t>
  </si>
  <si>
    <t>8.01</t>
  </si>
  <si>
    <t xml:space="preserve">ACTIVIDADES DE CAPACITACIÓN </t>
  </si>
  <si>
    <t>8.01.01</t>
  </si>
  <si>
    <t>GASTOS ADMINISTRATIVOS POR  CURSOS DE ACTUALIZACION PROFES.</t>
  </si>
  <si>
    <t>8.01.02</t>
  </si>
  <si>
    <t>CAPACITACIONES AL PERSONAL ADMINISTRATIVO</t>
  </si>
  <si>
    <t>Valorar si realmente se deben realizar en este año e indicar cuales capacitaciones de planean y para cuales funcionarios.</t>
  </si>
  <si>
    <t>PROGRAMA DE ACTIVIDADES PROTOCOLARIAS Y SOCIALES</t>
  </si>
  <si>
    <t>9.01</t>
  </si>
  <si>
    <t>ASAMBLEA ORDINARIA ANUAL</t>
  </si>
  <si>
    <t>9.02</t>
  </si>
  <si>
    <t>ASAMBLEAS EXTRAORDINARIAS</t>
  </si>
  <si>
    <t>Indicar en cuales fechas se planean realizar y el gasto por cada una.</t>
  </si>
  <si>
    <t>PROGRAMA DE MANTENIMIENTO DE INSTALACIONES</t>
  </si>
  <si>
    <t>10.01</t>
  </si>
  <si>
    <t>PINTURA DE TECHOS, MURO EXTERIOR Y DEL PARQUEO</t>
  </si>
  <si>
    <t>Valorar los gastos mínimos para el mantenimiento por este año</t>
  </si>
  <si>
    <t>10.02</t>
  </si>
  <si>
    <t xml:space="preserve">PINTURA INTERIORES </t>
  </si>
  <si>
    <t>10.03</t>
  </si>
  <si>
    <t>MANTENIMIENTO EDIFICIO 1</t>
  </si>
  <si>
    <t>10.04</t>
  </si>
  <si>
    <t>MANTENIMIENTO EDIFICIO 2</t>
  </si>
  <si>
    <t xml:space="preserve">PROGRAMA DE SERVICIOS </t>
  </si>
  <si>
    <t>11.01</t>
  </si>
  <si>
    <t xml:space="preserve">SERVICIOS CONTRATADOS </t>
  </si>
  <si>
    <t>11.01.01</t>
  </si>
  <si>
    <t>SERVICIOS PROFESIONALES CONTABLES</t>
  </si>
  <si>
    <t>11.01.02</t>
  </si>
  <si>
    <t>ASESORIA LEGAL</t>
  </si>
  <si>
    <t>11.01.03</t>
  </si>
  <si>
    <t>SERVICIOS DE CAPACITACION CURSOS INCORPORACION</t>
  </si>
  <si>
    <t>11.01.04</t>
  </si>
  <si>
    <t>SERVICIOS DE MONITOREO DE SEGURIDAD</t>
  </si>
  <si>
    <t>11.01.05</t>
  </si>
  <si>
    <t>SERVICIOS DE JARDINERIA</t>
  </si>
  <si>
    <t>Revisar el gasto mensual de este rubro a ver si se puede ajustar un poco.</t>
  </si>
  <si>
    <t>11.01.06</t>
  </si>
  <si>
    <t>SERVICIOS DE ALQUILER DE MULTIFUNCIONAL Y FOTOCOPIADO</t>
  </si>
  <si>
    <t>11.01.07</t>
  </si>
  <si>
    <t>SERVICIOS PROFESIONALES ADMINISTRACION</t>
  </si>
  <si>
    <t>Definir cual es el servicio que se contrata para este rubro, yo estoy casi seguro que este rubro corresponde a la cotización adicional que yo les envié.</t>
  </si>
  <si>
    <t>11.01.08</t>
  </si>
  <si>
    <t>SERVICIOS LIMPIEZA</t>
  </si>
  <si>
    <t xml:space="preserve"> SERVICIOS BÁSICOS</t>
  </si>
  <si>
    <t>12.01</t>
  </si>
  <si>
    <t>SERVICIO DE TELECOMUNICACIONES</t>
  </si>
  <si>
    <t xml:space="preserve">Revisar el contrato por este servicio para evaluar ajustar el monto por mes. </t>
  </si>
  <si>
    <t>12.02</t>
  </si>
  <si>
    <t>SERVICIO DE INTERNET</t>
  </si>
  <si>
    <t>Corroborar el monto mensual que se cancelará con la nueva empresa contratada.</t>
  </si>
  <si>
    <t>12.03</t>
  </si>
  <si>
    <t>SERVICIO DE CORREO</t>
  </si>
  <si>
    <t>12.04</t>
  </si>
  <si>
    <t>SERVICIO DE ENERGÍA ELÉCTRICA</t>
  </si>
  <si>
    <t>12.05</t>
  </si>
  <si>
    <t>SERVICIO DE AGUA Y ALCANTARILLADO</t>
  </si>
  <si>
    <t xml:space="preserve"> IMPUESTOS</t>
  </si>
  <si>
    <t>13.01</t>
  </si>
  <si>
    <t>IMPUESTOS MUNICIPALES</t>
  </si>
  <si>
    <t>13.02</t>
  </si>
  <si>
    <t>IMPUESTO SOBRE LA RENTA</t>
  </si>
  <si>
    <t>OBLIGACIONES POR CONTRATOS DE SEGUROS</t>
  </si>
  <si>
    <t>14.01</t>
  </si>
  <si>
    <t>POLIZA DE EQUIPO COMPUTO</t>
  </si>
  <si>
    <t>Evaluar la existencia de esta póliza, corroborar su monto y detallar a cuales equipos correponde.</t>
  </si>
  <si>
    <t>14.02</t>
  </si>
  <si>
    <t>POLIZA DE INCENDIO</t>
  </si>
  <si>
    <t>Evaluar la existencia de esta póliza y corroborar su monto.</t>
  </si>
  <si>
    <t>14.03</t>
  </si>
  <si>
    <t xml:space="preserve">POLIZA DE RIESGOS TRABAJO </t>
  </si>
  <si>
    <t>14.04</t>
  </si>
  <si>
    <t>POLIZA DE TERCEROS</t>
  </si>
  <si>
    <t>GASTOS DIVERSOS</t>
  </si>
  <si>
    <t>15.01</t>
  </si>
  <si>
    <t>GASTOS POR INCORPORACIONES</t>
  </si>
  <si>
    <t>Detallar las fechas de las incorporaciones.</t>
  </si>
  <si>
    <t>EN SEDE</t>
  </si>
  <si>
    <t>15.02</t>
  </si>
  <si>
    <t xml:space="preserve">PEAJE Y PARQUEOS </t>
  </si>
  <si>
    <t>15.03</t>
  </si>
  <si>
    <t>GASTOS POR KILOMETRAJE Y VIATICOS</t>
  </si>
  <si>
    <t>Valorar este rubro y detallar para cuales funcionarios se cancelará.</t>
  </si>
  <si>
    <t>15.04</t>
  </si>
  <si>
    <t>ARRENDAMIENTO MOTOCICLETA MENSAJERIA</t>
  </si>
  <si>
    <t>Valorar este rubro y definir el monto del nuevo contrato a suscribir.</t>
  </si>
  <si>
    <t>15.05</t>
  </si>
  <si>
    <t>CUOTA PARA FEDERACION COLEGIOS PROFES. UNIVERSITARIOS</t>
  </si>
  <si>
    <t xml:space="preserve"> GASTOS FINANCIEROS </t>
  </si>
  <si>
    <t>16.01</t>
  </si>
  <si>
    <t>COMISIONES BANCARIAS</t>
  </si>
  <si>
    <t>MATERIALES Y SUMINISTROS</t>
  </si>
  <si>
    <t>17.01</t>
  </si>
  <si>
    <t xml:space="preserve">ÚTILES, MATERIALES Y SUMINISTROS DIVERSOS </t>
  </si>
  <si>
    <t>17.01.01</t>
  </si>
  <si>
    <t>PAPELERÍA, ÚTILES Y MATERIALES DE OFICINA</t>
  </si>
  <si>
    <t>Evaluar el gasto por mes en este rubro.</t>
  </si>
  <si>
    <t>17.01.02</t>
  </si>
  <si>
    <t>COMPRA DE SELLOS</t>
  </si>
  <si>
    <t>17.01.03</t>
  </si>
  <si>
    <t>COMPRA DE CARNETS</t>
  </si>
  <si>
    <t>ÚTILES Y MATERIALES DE LIMPIEZA</t>
  </si>
  <si>
    <t>18.01</t>
  </si>
  <si>
    <t>SUMINISTROS DE LIMPIEZA Y COCINA</t>
  </si>
  <si>
    <t>CUENTAS ESPECIALES IMPREVISTOS</t>
  </si>
  <si>
    <t>19.01</t>
  </si>
  <si>
    <t xml:space="preserve">IMPREVISTOS </t>
  </si>
  <si>
    <t>TOTAL GASTOS OPERATIVOS</t>
  </si>
  <si>
    <t>PROGRAMA DE MODERNIZACION TECNOLOGICA</t>
  </si>
  <si>
    <t>20.01</t>
  </si>
  <si>
    <t xml:space="preserve"> SOFTWARE Y HARDWARE</t>
  </si>
  <si>
    <t>20.01.01</t>
  </si>
  <si>
    <t>SISTEMA DE INFORMACION DE COLEGIATURAS</t>
  </si>
  <si>
    <t>20.01.02</t>
  </si>
  <si>
    <t xml:space="preserve">COMPRA DE EQUIPO DE COMPUTO </t>
  </si>
  <si>
    <t>Evaluar si realmente se necesita invertir en estos equipos, y detallar para cuales funcionarios serían.</t>
  </si>
  <si>
    <t>compra de 2 laptop</t>
  </si>
  <si>
    <t>20.01.03</t>
  </si>
  <si>
    <t>SERVICIOS DE SOPORTE TECNICO</t>
  </si>
  <si>
    <t>TOTAL PROGRAMA DE MODERNIZACION TECNOLOGICA</t>
  </si>
  <si>
    <t>FONDO DE MUTUALIDAD Y RESERVAS</t>
  </si>
  <si>
    <t xml:space="preserve">CUOTA FONDO DE MUTUALIDAD </t>
  </si>
  <si>
    <t xml:space="preserve">RESERVA: RECUPERACION DEL FONDO DE MUTUALIDAD, INVERSION Y LIQUIDACIONES LABORALES </t>
  </si>
  <si>
    <t>TOTAL FONDO DE MUTUALIDAD Y RESERVAS</t>
  </si>
  <si>
    <t>RESUMEN</t>
  </si>
  <si>
    <t>INGRESOS</t>
  </si>
  <si>
    <t>GASTOS OPERATIVOS</t>
  </si>
  <si>
    <t>MODERNIZACION TECNOLOGICA</t>
  </si>
  <si>
    <t>ASIGNACIÓN FONDO DE MUTUALIDAD</t>
  </si>
  <si>
    <t>RESERVA</t>
  </si>
  <si>
    <t>CIERRE PRESUPUESTARIO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</si>
</sst>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mm/yy"/>
  </numFmts>
  <fonts count="28">
    <font>
      <sz val="10"/>
      <name val="Arial"/>
      <family val="2"/>
    </font>
    <font>
      <shadow/>
      <sz val="12"/>
      <name val="Century Gothic"/>
      <family val="2"/>
    </font>
    <font>
      <b/>
      <shadow/>
      <sz val="12"/>
      <name val="Century Gothic"/>
      <family val="2"/>
    </font>
    <font>
      <shadow/>
      <sz val="12"/>
      <name val="Century"/>
      <family val="1"/>
    </font>
    <font>
      <shadow/>
      <sz val="12"/>
      <name val="Arial"/>
      <family val="2"/>
    </font>
    <font>
      <shadow/>
      <sz val="12"/>
      <name val="Bookman Old Style"/>
      <family val="1"/>
    </font>
    <font>
      <b/>
      <shadow/>
      <sz val="12"/>
      <name val="Bookman Old Style"/>
      <family val="1"/>
    </font>
    <font>
      <b/>
      <shadow/>
      <sz val="12"/>
      <color indexed="13"/>
      <name val="Century"/>
      <family val="1"/>
    </font>
    <font>
      <b/>
      <shadow/>
      <sz val="12"/>
      <name val="Arial"/>
      <family val="2"/>
    </font>
    <font>
      <b/>
      <shadow/>
      <u/>
      <sz val="12"/>
      <name val="Bookman Old Style"/>
      <family val="1"/>
    </font>
    <font>
      <b/>
      <shadow/>
      <sz val="12"/>
      <name val="Century"/>
      <family val="1"/>
    </font>
    <font>
      <b/>
      <shadow/>
      <sz val="12"/>
      <color indexed="56"/>
      <name val="Bookman Old Style"/>
      <family val="1"/>
    </font>
    <font>
      <b/>
      <shadow/>
      <sz val="12"/>
      <color indexed="56"/>
      <name val="Century"/>
      <family val="1"/>
    </font>
    <font>
      <shadow/>
      <sz val="12"/>
      <color indexed="10"/>
      <name val="Century"/>
      <family val="1"/>
    </font>
    <font>
      <b/>
      <shadow/>
      <sz val="12"/>
      <color indexed="13"/>
      <name val="Bookman Old Style"/>
      <family val="1"/>
    </font>
    <font>
      <shadow/>
      <sz val="12"/>
      <name val="Georgia"/>
      <family val="1"/>
    </font>
    <font>
      <b/>
      <shadow/>
      <sz val="12"/>
      <name val="Georgia"/>
      <family val="1"/>
    </font>
    <font>
      <sz val="9"/>
      <color indexed="8"/>
      <name val="Tahoma"/>
      <family val="2"/>
    </font>
    <font>
      <b/>
      <sz val="9"/>
      <color indexed="8"/>
      <name val="Tahoma"/>
      <family val="2"/>
    </font>
    <font>
      <sz val="10"/>
      <name val="Arial"/>
      <family val="2"/>
    </font>
    <font>
      <b/>
      <shadow/>
      <u/>
      <sz val="16"/>
      <name val="Bookman Old Style"/>
      <family val="1"/>
    </font>
    <font>
      <b/>
      <shadow/>
      <sz val="14"/>
      <color indexed="56"/>
      <name val="Bookman Old Styl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b/>
      <shadow/>
      <sz val="14"/>
      <name val="Bookman Old Style"/>
      <family val="1"/>
    </font>
    <font>
      <b/>
      <shadow/>
      <sz val="20"/>
      <name val="Bookman Old Style"/>
      <family val="1"/>
    </font>
    <font>
      <b/>
      <shadow/>
      <sz val="12"/>
      <color rgb="FFFF0000"/>
      <name val="Century"/>
      <family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11"/>
        <bgColor indexed="50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50"/>
        <bgColor indexed="11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50"/>
      </patternFill>
    </fill>
    <fill>
      <patternFill patternType="solid">
        <fgColor theme="0" tint="-0.14999847407452621"/>
        <bgColor indexed="50"/>
      </patternFill>
    </fill>
    <fill>
      <patternFill patternType="solid">
        <fgColor theme="7" tint="0.79998168889431442"/>
        <bgColor indexed="50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C000"/>
        <bgColor indexed="5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51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2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4" fontId="19" fillId="0" borderId="0" applyFill="0" applyBorder="0" applyAlignment="0" applyProtection="0"/>
    <xf numFmtId="0" fontId="24" fillId="0" borderId="0">
      <alignment vertical="top"/>
    </xf>
  </cellStyleXfs>
  <cellXfs count="19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164" fontId="4" fillId="0" borderId="0" xfId="1" applyFont="1" applyFill="1" applyBorder="1" applyAlignment="1" applyProtection="1"/>
    <xf numFmtId="0" fontId="5" fillId="0" borderId="0" xfId="0" applyFont="1" applyAlignment="1">
      <alignment horizontal="right"/>
    </xf>
    <xf numFmtId="0" fontId="7" fillId="3" borderId="1" xfId="0" applyFont="1" applyFill="1" applyBorder="1"/>
    <xf numFmtId="4" fontId="3" fillId="0" borderId="2" xfId="0" applyNumberFormat="1" applyFont="1" applyBorder="1" applyAlignment="1">
      <alignment horizontal="right"/>
    </xf>
    <xf numFmtId="0" fontId="8" fillId="4" borderId="3" xfId="0" applyFont="1" applyFill="1" applyBorder="1"/>
    <xf numFmtId="0" fontId="7" fillId="3" borderId="0" xfId="0" applyFont="1" applyFill="1"/>
    <xf numFmtId="0" fontId="3" fillId="0" borderId="4" xfId="0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horizontal="right"/>
    </xf>
    <xf numFmtId="0" fontId="8" fillId="4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64" fontId="10" fillId="0" borderId="0" xfId="1" applyFont="1" applyFill="1" applyBorder="1" applyAlignment="1" applyProtection="1"/>
    <xf numFmtId="10" fontId="8" fillId="4" borderId="3" xfId="0" applyNumberFormat="1" applyFont="1" applyFill="1" applyBorder="1" applyAlignment="1">
      <alignment wrapText="1"/>
    </xf>
    <xf numFmtId="0" fontId="6" fillId="2" borderId="0" xfId="0" applyFont="1" applyFill="1"/>
    <xf numFmtId="164" fontId="7" fillId="3" borderId="3" xfId="1" applyFont="1" applyFill="1" applyBorder="1" applyAlignment="1" applyProtection="1">
      <alignment horizontal="center"/>
    </xf>
    <xf numFmtId="0" fontId="6" fillId="5" borderId="3" xfId="0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3" fillId="4" borderId="3" xfId="0" applyFont="1" applyFill="1" applyBorder="1"/>
    <xf numFmtId="0" fontId="10" fillId="4" borderId="3" xfId="0" applyFont="1" applyFill="1" applyBorder="1"/>
    <xf numFmtId="0" fontId="6" fillId="5" borderId="3" xfId="0" applyNumberFormat="1" applyFont="1" applyFill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3" fillId="4" borderId="0" xfId="0" applyFont="1" applyFill="1"/>
    <xf numFmtId="0" fontId="5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0" fontId="6" fillId="2" borderId="10" xfId="0" applyNumberFormat="1" applyFont="1" applyFill="1" applyBorder="1"/>
    <xf numFmtId="4" fontId="6" fillId="6" borderId="3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3" fillId="7" borderId="0" xfId="0" applyNumberFormat="1" applyFont="1" applyFill="1" applyAlignment="1">
      <alignment horizontal="left"/>
    </xf>
    <xf numFmtId="4" fontId="7" fillId="3" borderId="0" xfId="0" applyNumberFormat="1" applyFont="1" applyFill="1" applyAlignment="1">
      <alignment horizontal="right"/>
    </xf>
    <xf numFmtId="0" fontId="6" fillId="2" borderId="7" xfId="0" applyNumberFormat="1" applyFont="1" applyFill="1" applyBorder="1"/>
    <xf numFmtId="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6" fillId="4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6" fillId="2" borderId="10" xfId="0" applyFont="1" applyFill="1" applyBorder="1"/>
    <xf numFmtId="4" fontId="3" fillId="2" borderId="3" xfId="0" applyNumberFormat="1" applyFont="1" applyFill="1" applyBorder="1" applyAlignment="1">
      <alignment horizontal="right"/>
    </xf>
    <xf numFmtId="0" fontId="6" fillId="4" borderId="10" xfId="0" applyFont="1" applyFill="1" applyBorder="1" applyAlignment="1">
      <alignment horizontal="right"/>
    </xf>
    <xf numFmtId="0" fontId="6" fillId="4" borderId="1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right"/>
    </xf>
    <xf numFmtId="0" fontId="6" fillId="0" borderId="10" xfId="0" applyFont="1" applyFill="1" applyBorder="1"/>
    <xf numFmtId="4" fontId="3" fillId="0" borderId="0" xfId="0" applyNumberFormat="1" applyFont="1"/>
    <xf numFmtId="0" fontId="6" fillId="0" borderId="0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2" borderId="11" xfId="0" applyNumberFormat="1" applyFont="1" applyFill="1" applyBorder="1" applyAlignment="1">
      <alignment horizontal="right"/>
    </xf>
    <xf numFmtId="0" fontId="6" fillId="0" borderId="10" xfId="0" applyFont="1" applyBorder="1"/>
    <xf numFmtId="0" fontId="12" fillId="8" borderId="12" xfId="0" applyFont="1" applyFill="1" applyBorder="1" applyAlignment="1">
      <alignment horizontal="center"/>
    </xf>
    <xf numFmtId="4" fontId="12" fillId="8" borderId="12" xfId="0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4" fontId="12" fillId="8" borderId="0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5" fillId="2" borderId="0" xfId="0" applyFont="1" applyFill="1"/>
    <xf numFmtId="0" fontId="6" fillId="2" borderId="3" xfId="0" applyFont="1" applyFill="1" applyBorder="1"/>
    <xf numFmtId="0" fontId="6" fillId="2" borderId="0" xfId="0" applyFont="1" applyFill="1" applyBorder="1"/>
    <xf numFmtId="0" fontId="6" fillId="0" borderId="3" xfId="0" applyFont="1" applyBorder="1"/>
    <xf numFmtId="0" fontId="6" fillId="0" borderId="10" xfId="0" applyFont="1" applyBorder="1" applyAlignment="1">
      <alignment wrapText="1"/>
    </xf>
    <xf numFmtId="0" fontId="13" fillId="0" borderId="0" xfId="0" applyFont="1"/>
    <xf numFmtId="0" fontId="6" fillId="2" borderId="13" xfId="0" applyFont="1" applyFill="1" applyBorder="1"/>
    <xf numFmtId="0" fontId="6" fillId="0" borderId="11" xfId="0" applyFont="1" applyBorder="1" applyAlignment="1">
      <alignment horizontal="right"/>
    </xf>
    <xf numFmtId="4" fontId="14" fillId="3" borderId="3" xfId="0" applyNumberFormat="1" applyFont="1" applyFill="1" applyBorder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164" fontId="4" fillId="2" borderId="0" xfId="1" applyFont="1" applyFill="1" applyBorder="1" applyAlignment="1" applyProtection="1"/>
    <xf numFmtId="0" fontId="6" fillId="0" borderId="0" xfId="0" applyFont="1"/>
    <xf numFmtId="4" fontId="6" fillId="2" borderId="0" xfId="0" applyNumberFormat="1" applyFont="1" applyFill="1" applyAlignment="1">
      <alignment horizontal="right"/>
    </xf>
    <xf numFmtId="0" fontId="6" fillId="9" borderId="3" xfId="0" applyFont="1" applyFill="1" applyBorder="1" applyAlignment="1">
      <alignment horizontal="right"/>
    </xf>
    <xf numFmtId="0" fontId="6" fillId="9" borderId="3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right"/>
    </xf>
    <xf numFmtId="4" fontId="6" fillId="10" borderId="3" xfId="0" applyNumberFormat="1" applyFont="1" applyFill="1" applyBorder="1"/>
    <xf numFmtId="0" fontId="15" fillId="0" borderId="0" xfId="0" applyFont="1" applyAlignment="1">
      <alignment horizontal="right"/>
    </xf>
    <xf numFmtId="0" fontId="16" fillId="0" borderId="0" xfId="0" applyFont="1"/>
    <xf numFmtId="0" fontId="16" fillId="2" borderId="0" xfId="0" applyFont="1" applyFill="1"/>
    <xf numFmtId="4" fontId="27" fillId="12" borderId="0" xfId="0" applyNumberFormat="1" applyFont="1" applyFill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4" fontId="21" fillId="2" borderId="12" xfId="0" applyNumberFormat="1" applyFont="1" applyFill="1" applyBorder="1" applyAlignment="1">
      <alignment horizontal="right"/>
    </xf>
    <xf numFmtId="4" fontId="6" fillId="13" borderId="3" xfId="0" applyNumberFormat="1" applyFont="1" applyFill="1" applyBorder="1" applyAlignment="1">
      <alignment horizontal="right"/>
    </xf>
    <xf numFmtId="4" fontId="6" fillId="14" borderId="3" xfId="0" applyNumberFormat="1" applyFont="1" applyFill="1" applyBorder="1" applyAlignment="1">
      <alignment horizontal="right"/>
    </xf>
    <xf numFmtId="4" fontId="6" fillId="2" borderId="0" xfId="0" applyNumberFormat="1" applyFont="1" applyFill="1" applyBorder="1"/>
    <xf numFmtId="0" fontId="6" fillId="2" borderId="0" xfId="0" applyNumberFormat="1" applyFont="1" applyFill="1" applyBorder="1"/>
    <xf numFmtId="4" fontId="6" fillId="0" borderId="0" xfId="0" applyNumberFormat="1" applyFont="1" applyFill="1" applyBorder="1" applyAlignment="1">
      <alignment horizontal="right"/>
    </xf>
    <xf numFmtId="4" fontId="6" fillId="6" borderId="11" xfId="0" applyNumberFormat="1" applyFont="1" applyFill="1" applyBorder="1" applyAlignment="1">
      <alignment horizontal="right"/>
    </xf>
    <xf numFmtId="4" fontId="6" fillId="6" borderId="15" xfId="0" applyNumberFormat="1" applyFont="1" applyFill="1" applyBorder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4" fontId="6" fillId="0" borderId="0" xfId="0" applyNumberFormat="1" applyFont="1" applyFill="1" applyAlignment="1">
      <alignment horizontal="right"/>
    </xf>
    <xf numFmtId="4" fontId="6" fillId="15" borderId="3" xfId="0" applyNumberFormat="1" applyFont="1" applyFill="1" applyBorder="1" applyAlignment="1">
      <alignment horizontal="right"/>
    </xf>
    <xf numFmtId="4" fontId="6" fillId="15" borderId="11" xfId="0" applyNumberFormat="1" applyFont="1" applyFill="1" applyBorder="1" applyAlignment="1">
      <alignment horizontal="right"/>
    </xf>
    <xf numFmtId="4" fontId="6" fillId="15" borderId="15" xfId="0" applyNumberFormat="1" applyFont="1" applyFill="1" applyBorder="1" applyAlignment="1">
      <alignment horizontal="right"/>
    </xf>
    <xf numFmtId="4" fontId="11" fillId="14" borderId="12" xfId="0" applyNumberFormat="1" applyFont="1" applyFill="1" applyBorder="1" applyAlignment="1">
      <alignment horizontal="right"/>
    </xf>
    <xf numFmtId="4" fontId="6" fillId="16" borderId="12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wrapText="1"/>
    </xf>
    <xf numFmtId="4" fontId="6" fillId="2" borderId="16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horizontal="right"/>
    </xf>
    <xf numFmtId="4" fontId="6" fillId="2" borderId="18" xfId="0" applyNumberFormat="1" applyFont="1" applyFill="1" applyBorder="1" applyAlignment="1">
      <alignment horizontal="right"/>
    </xf>
    <xf numFmtId="4" fontId="6" fillId="2" borderId="19" xfId="0" applyNumberFormat="1" applyFont="1" applyFill="1" applyBorder="1" applyAlignment="1">
      <alignment horizontal="right"/>
    </xf>
    <xf numFmtId="4" fontId="6" fillId="0" borderId="19" xfId="0" applyNumberFormat="1" applyFont="1" applyFill="1" applyBorder="1" applyAlignment="1">
      <alignment horizontal="right"/>
    </xf>
    <xf numFmtId="0" fontId="6" fillId="2" borderId="17" xfId="0" applyFont="1" applyFill="1" applyBorder="1"/>
    <xf numFmtId="0" fontId="6" fillId="2" borderId="16" xfId="0" applyFont="1" applyFill="1" applyBorder="1"/>
    <xf numFmtId="4" fontId="6" fillId="2" borderId="12" xfId="0" applyNumberFormat="1" applyFont="1" applyFill="1" applyBorder="1" applyAlignment="1">
      <alignment horizontal="center"/>
    </xf>
    <xf numFmtId="0" fontId="9" fillId="0" borderId="20" xfId="0" applyFont="1" applyBorder="1" applyAlignment="1">
      <alignment horizontal="left"/>
    </xf>
    <xf numFmtId="0" fontId="6" fillId="0" borderId="19" xfId="0" applyFont="1" applyFill="1" applyBorder="1" applyAlignment="1">
      <alignment horizontal="center"/>
    </xf>
    <xf numFmtId="0" fontId="6" fillId="2" borderId="19" xfId="0" applyFont="1" applyFill="1" applyBorder="1"/>
    <xf numFmtId="0" fontId="2" fillId="2" borderId="19" xfId="0" applyFont="1" applyFill="1" applyBorder="1"/>
    <xf numFmtId="0" fontId="2" fillId="2" borderId="0" xfId="0" applyFont="1" applyFill="1" applyBorder="1"/>
    <xf numFmtId="0" fontId="6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4" fontId="6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16" fillId="0" borderId="0" xfId="0" applyFont="1" applyFill="1"/>
    <xf numFmtId="4" fontId="6" fillId="0" borderId="0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5" fontId="10" fillId="11" borderId="0" xfId="0" applyNumberFormat="1" applyFont="1" applyFill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164" fontId="7" fillId="3" borderId="3" xfId="1" applyFont="1" applyFill="1" applyBorder="1" applyAlignment="1" applyProtection="1">
      <alignment horizontal="center" wrapText="1"/>
    </xf>
    <xf numFmtId="164" fontId="8" fillId="7" borderId="3" xfId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 wrapText="1"/>
    </xf>
    <xf numFmtId="164" fontId="4" fillId="0" borderId="0" xfId="1" applyFont="1" applyFill="1" applyBorder="1" applyAlignment="1" applyProtection="1">
      <alignment horizontal="center" wrapText="1"/>
    </xf>
    <xf numFmtId="4" fontId="11" fillId="16" borderId="12" xfId="0" applyNumberFormat="1" applyFont="1" applyFill="1" applyBorder="1" applyAlignment="1">
      <alignment horizontal="right"/>
    </xf>
    <xf numFmtId="4" fontId="21" fillId="16" borderId="12" xfId="0" applyNumberFormat="1" applyFont="1" applyFill="1" applyBorder="1" applyAlignment="1">
      <alignment horizontal="right"/>
    </xf>
    <xf numFmtId="4" fontId="6" fillId="2" borderId="21" xfId="0" applyNumberFormat="1" applyFont="1" applyFill="1" applyBorder="1" applyAlignment="1">
      <alignment horizontal="center" wrapText="1"/>
    </xf>
    <xf numFmtId="4" fontId="6" fillId="2" borderId="12" xfId="0" applyNumberFormat="1" applyFont="1" applyFill="1" applyBorder="1"/>
    <xf numFmtId="0" fontId="6" fillId="2" borderId="3" xfId="0" applyNumberFormat="1" applyFont="1" applyFill="1" applyBorder="1"/>
    <xf numFmtId="4" fontId="6" fillId="2" borderId="10" xfId="0" applyNumberFormat="1" applyFont="1" applyFill="1" applyBorder="1" applyAlignment="1">
      <alignment horizontal="right"/>
    </xf>
    <xf numFmtId="4" fontId="6" fillId="17" borderId="3" xfId="0" applyNumberFormat="1" applyFont="1" applyFill="1" applyBorder="1" applyAlignment="1">
      <alignment horizontal="right"/>
    </xf>
    <xf numFmtId="4" fontId="6" fillId="18" borderId="0" xfId="0" applyNumberFormat="1" applyFont="1" applyFill="1" applyBorder="1" applyAlignment="1">
      <alignment horizontal="right"/>
    </xf>
    <xf numFmtId="0" fontId="6" fillId="12" borderId="0" xfId="0" applyFont="1" applyFill="1" applyBorder="1" applyAlignment="1">
      <alignment horizontal="left" wrapText="1"/>
    </xf>
    <xf numFmtId="0" fontId="20" fillId="12" borderId="0" xfId="0" applyFont="1" applyFill="1" applyBorder="1" applyAlignment="1">
      <alignment horizontal="left"/>
    </xf>
    <xf numFmtId="4" fontId="6" fillId="12" borderId="0" xfId="0" applyNumberFormat="1" applyFont="1" applyFill="1" applyBorder="1" applyAlignment="1">
      <alignment horizontal="center"/>
    </xf>
    <xf numFmtId="4" fontId="6" fillId="12" borderId="0" xfId="0" applyNumberFormat="1" applyFont="1" applyFill="1" applyBorder="1" applyAlignment="1">
      <alignment horizontal="left"/>
    </xf>
    <xf numFmtId="0" fontId="2" fillId="12" borderId="0" xfId="0" applyFont="1" applyFill="1" applyAlignment="1">
      <alignment horizontal="left"/>
    </xf>
    <xf numFmtId="4" fontId="11" fillId="12" borderId="0" xfId="0" applyNumberFormat="1" applyFont="1" applyFill="1" applyBorder="1" applyAlignment="1">
      <alignment horizontal="left"/>
    </xf>
    <xf numFmtId="0" fontId="6" fillId="12" borderId="0" xfId="0" applyFont="1" applyFill="1" applyBorder="1" applyAlignment="1">
      <alignment horizontal="left"/>
    </xf>
    <xf numFmtId="0" fontId="4" fillId="12" borderId="0" xfId="0" applyFont="1" applyFill="1" applyAlignment="1">
      <alignment horizontal="left"/>
    </xf>
    <xf numFmtId="0" fontId="5" fillId="12" borderId="0" xfId="0" applyFont="1" applyFill="1" applyAlignment="1">
      <alignment horizontal="left"/>
    </xf>
    <xf numFmtId="0" fontId="2" fillId="12" borderId="0" xfId="0" applyFont="1" applyFill="1" applyBorder="1" applyAlignment="1">
      <alignment horizontal="left"/>
    </xf>
    <xf numFmtId="0" fontId="6" fillId="12" borderId="0" xfId="0" applyFont="1" applyFill="1" applyAlignment="1">
      <alignment horizontal="left"/>
    </xf>
    <xf numFmtId="4" fontId="6" fillId="12" borderId="0" xfId="0" applyNumberFormat="1" applyFont="1" applyFill="1" applyAlignment="1">
      <alignment horizontal="left"/>
    </xf>
    <xf numFmtId="0" fontId="16" fillId="12" borderId="0" xfId="0" applyFont="1" applyFill="1" applyAlignment="1">
      <alignment horizontal="left"/>
    </xf>
    <xf numFmtId="4" fontId="6" fillId="19" borderId="0" xfId="0" applyNumberFormat="1" applyFont="1" applyFill="1" applyBorder="1" applyAlignment="1">
      <alignment horizontal="left"/>
    </xf>
    <xf numFmtId="4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right"/>
    </xf>
    <xf numFmtId="4" fontId="6" fillId="4" borderId="10" xfId="0" applyNumberFormat="1" applyFont="1" applyFill="1" applyBorder="1" applyAlignment="1">
      <alignment horizontal="center"/>
    </xf>
    <xf numFmtId="0" fontId="25" fillId="0" borderId="3" xfId="0" applyNumberFormat="1" applyFont="1" applyFill="1" applyBorder="1"/>
    <xf numFmtId="0" fontId="6" fillId="20" borderId="22" xfId="0" applyFont="1" applyFill="1" applyBorder="1" applyAlignment="1">
      <alignment horizontal="center"/>
    </xf>
    <xf numFmtId="40" fontId="6" fillId="20" borderId="22" xfId="0" applyNumberFormat="1" applyFont="1" applyFill="1" applyBorder="1" applyAlignment="1">
      <alignment horizontal="center"/>
    </xf>
    <xf numFmtId="0" fontId="6" fillId="21" borderId="3" xfId="0" applyFont="1" applyFill="1" applyBorder="1" applyAlignment="1">
      <alignment horizontal="right"/>
    </xf>
    <xf numFmtId="0" fontId="6" fillId="21" borderId="3" xfId="0" applyFont="1" applyFill="1" applyBorder="1" applyAlignment="1">
      <alignment horizontal="center"/>
    </xf>
    <xf numFmtId="0" fontId="6" fillId="22" borderId="3" xfId="0" applyFont="1" applyFill="1" applyBorder="1" applyAlignment="1">
      <alignment horizontal="center"/>
    </xf>
    <xf numFmtId="4" fontId="6" fillId="23" borderId="12" xfId="0" applyNumberFormat="1" applyFont="1" applyFill="1" applyBorder="1" applyAlignment="1">
      <alignment horizontal="right"/>
    </xf>
    <xf numFmtId="40" fontId="6" fillId="22" borderId="3" xfId="0" applyNumberFormat="1" applyFont="1" applyFill="1" applyBorder="1" applyAlignment="1">
      <alignment horizontal="center"/>
    </xf>
    <xf numFmtId="0" fontId="6" fillId="24" borderId="3" xfId="0" applyFont="1" applyFill="1" applyBorder="1" applyAlignment="1">
      <alignment horizontal="right"/>
    </xf>
    <xf numFmtId="0" fontId="6" fillId="24" borderId="3" xfId="0" applyFont="1" applyFill="1" applyBorder="1" applyAlignment="1">
      <alignment horizontal="center"/>
    </xf>
    <xf numFmtId="0" fontId="6" fillId="25" borderId="10" xfId="0" applyFont="1" applyFill="1" applyBorder="1" applyAlignment="1">
      <alignment horizontal="center"/>
    </xf>
    <xf numFmtId="0" fontId="6" fillId="5" borderId="3" xfId="0" applyNumberFormat="1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9" borderId="3" xfId="0" applyFont="1" applyFill="1" applyBorder="1" applyAlignment="1">
      <alignment horizontal="left"/>
    </xf>
    <xf numFmtId="0" fontId="6" fillId="24" borderId="3" xfId="0" applyFont="1" applyFill="1" applyBorder="1" applyAlignment="1">
      <alignment horizontal="left"/>
    </xf>
    <xf numFmtId="4" fontId="4" fillId="0" borderId="0" xfId="0" applyNumberFormat="1" applyFont="1"/>
    <xf numFmtId="4" fontId="6" fillId="9" borderId="3" xfId="0" applyNumberFormat="1" applyFont="1" applyFill="1" applyBorder="1" applyAlignment="1">
      <alignment horizontal="center"/>
    </xf>
    <xf numFmtId="4" fontId="6" fillId="24" borderId="3" xfId="0" applyNumberFormat="1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DDDD"/>
      <rgbColor rgb="00FFFF99"/>
      <rgbColor rgb="0099CCFF"/>
      <rgbColor rgb="00FF99CC"/>
      <rgbColor rgb="00CC99FF"/>
      <rgbColor rgb="00FFCC99"/>
      <rgbColor rgb="003366FF"/>
      <rgbColor rgb="0033CCCC"/>
      <rgbColor rgb="0066F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9525</xdr:rowOff>
    </xdr:from>
    <xdr:to>
      <xdr:col>1</xdr:col>
      <xdr:colOff>952500</xdr:colOff>
      <xdr:row>3</xdr:row>
      <xdr:rowOff>209550</xdr:rowOff>
    </xdr:to>
    <xdr:pic>
      <xdr:nvPicPr>
        <xdr:cNvPr id="1408" name="0 Imagen">
          <a:extLst>
            <a:ext uri="{FF2B5EF4-FFF2-40B4-BE49-F238E27FC236}">
              <a16:creationId xmlns:a16="http://schemas.microsoft.com/office/drawing/2014/main" id="{CD80D1DE-6FB9-4F15-A2D7-F362A450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5"/>
          <a:ext cx="1257300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57150</xdr:colOff>
      <xdr:row>1</xdr:row>
      <xdr:rowOff>200025</xdr:rowOff>
    </xdr:to>
    <xdr:pic>
      <xdr:nvPicPr>
        <xdr:cNvPr id="1409" name="Picture 288">
          <a:extLst>
            <a:ext uri="{FF2B5EF4-FFF2-40B4-BE49-F238E27FC236}">
              <a16:creationId xmlns:a16="http://schemas.microsoft.com/office/drawing/2014/main" id="{C064B36B-69B0-4D8A-B663-38446D59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247650"/>
          <a:ext cx="57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0</xdr:colOff>
      <xdr:row>1</xdr:row>
      <xdr:rowOff>0</xdr:rowOff>
    </xdr:from>
    <xdr:to>
      <xdr:col>23</xdr:col>
      <xdr:colOff>47625</xdr:colOff>
      <xdr:row>1</xdr:row>
      <xdr:rowOff>200025</xdr:rowOff>
    </xdr:to>
    <xdr:pic>
      <xdr:nvPicPr>
        <xdr:cNvPr id="1410" name="Picture 289">
          <a:extLst>
            <a:ext uri="{FF2B5EF4-FFF2-40B4-BE49-F238E27FC236}">
              <a16:creationId xmlns:a16="http://schemas.microsoft.com/office/drawing/2014/main" id="{E184068D-D3E5-4671-B965-9894DE95D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247650"/>
          <a:ext cx="4762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0</xdr:colOff>
      <xdr:row>1</xdr:row>
      <xdr:rowOff>238125</xdr:rowOff>
    </xdr:from>
    <xdr:to>
      <xdr:col>23</xdr:col>
      <xdr:colOff>57150</xdr:colOff>
      <xdr:row>2</xdr:row>
      <xdr:rowOff>200025</xdr:rowOff>
    </xdr:to>
    <xdr:pic>
      <xdr:nvPicPr>
        <xdr:cNvPr id="1411" name="Picture 290">
          <a:extLst>
            <a:ext uri="{FF2B5EF4-FFF2-40B4-BE49-F238E27FC236}">
              <a16:creationId xmlns:a16="http://schemas.microsoft.com/office/drawing/2014/main" id="{F192F549-E868-4AF1-A363-2E6823EAC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485775"/>
          <a:ext cx="57150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23</xdr:col>
      <xdr:colOff>0</xdr:colOff>
      <xdr:row>1</xdr:row>
      <xdr:rowOff>238125</xdr:rowOff>
    </xdr:from>
    <xdr:to>
      <xdr:col>23</xdr:col>
      <xdr:colOff>47625</xdr:colOff>
      <xdr:row>2</xdr:row>
      <xdr:rowOff>200025</xdr:rowOff>
    </xdr:to>
    <xdr:pic>
      <xdr:nvPicPr>
        <xdr:cNvPr id="1412" name="Picture 291">
          <a:extLst>
            <a:ext uri="{FF2B5EF4-FFF2-40B4-BE49-F238E27FC236}">
              <a16:creationId xmlns:a16="http://schemas.microsoft.com/office/drawing/2014/main" id="{8D9019AA-0462-41CE-A270-168DB879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7525" y="485775"/>
          <a:ext cx="47625" cy="2952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4"/>
  <sheetViews>
    <sheetView tabSelected="1" zoomScale="80" zoomScaleNormal="80" workbookViewId="0">
      <pane ySplit="5" topLeftCell="A189" activePane="bottomLeft" state="frozen"/>
      <selection pane="bottomLeft" sqref="A1:F193"/>
    </sheetView>
  </sheetViews>
  <sheetFormatPr defaultColWidth="11" defaultRowHeight="12.75" customHeight="1"/>
  <cols>
    <col min="1" max="1" width="12.42578125" style="1" bestFit="1" customWidth="1"/>
    <col min="2" max="2" width="154" style="2" bestFit="1" customWidth="1"/>
    <col min="3" max="3" width="19.28515625" style="3" hidden="1" customWidth="1"/>
    <col min="4" max="4" width="22.7109375" style="3" hidden="1" customWidth="1"/>
    <col min="5" max="5" width="27.85546875" style="3" customWidth="1"/>
    <col min="6" max="6" width="23" style="3" bestFit="1" customWidth="1"/>
    <col min="7" max="7" width="21" style="3" hidden="1" customWidth="1"/>
    <col min="8" max="8" width="36.5703125" style="101" hidden="1" customWidth="1"/>
    <col min="9" max="9" width="149.5703125" style="154" hidden="1" customWidth="1"/>
    <col min="10" max="10" width="22.7109375" style="4" hidden="1" customWidth="1"/>
    <col min="11" max="11" width="46.5703125" style="4" hidden="1" customWidth="1"/>
    <col min="12" max="12" width="19.5703125" style="4" hidden="1" customWidth="1"/>
    <col min="13" max="13" width="22.42578125" style="4" hidden="1" customWidth="1"/>
    <col min="14" max="14" width="3" style="4" hidden="1" customWidth="1"/>
    <col min="15" max="15" width="19.7109375" style="4" hidden="1" customWidth="1"/>
    <col min="16" max="16" width="20.140625" style="4" hidden="1" customWidth="1"/>
    <col min="17" max="17" width="27.140625" style="4" hidden="1" customWidth="1"/>
    <col min="18" max="18" width="36.7109375" style="4" hidden="1" customWidth="1"/>
    <col min="19" max="19" width="19" style="4" hidden="1" customWidth="1"/>
    <col min="20" max="20" width="19.28515625" style="5" hidden="1" customWidth="1"/>
    <col min="21" max="23" width="0" style="5" hidden="1" customWidth="1"/>
    <col min="24" max="24" width="16.7109375" style="5" bestFit="1" customWidth="1"/>
    <col min="25" max="25" width="38.5703125" style="6" hidden="1" customWidth="1"/>
    <col min="26" max="16384" width="11" style="5"/>
  </cols>
  <sheetData>
    <row r="1" spans="1:25" ht="19.5" customHeight="1">
      <c r="A1" s="7"/>
      <c r="B1" s="188" t="s">
        <v>0</v>
      </c>
      <c r="C1" s="188"/>
      <c r="D1" s="188"/>
      <c r="E1" s="187"/>
      <c r="F1" s="187"/>
      <c r="G1" s="187"/>
      <c r="H1" s="125"/>
      <c r="I1" s="150"/>
      <c r="J1" s="4">
        <f>8000*6*60</f>
        <v>2880000</v>
      </c>
      <c r="L1" s="4" t="s">
        <v>0</v>
      </c>
      <c r="O1" s="8" t="s">
        <v>1</v>
      </c>
      <c r="P1" s="9">
        <f>8000*1150</f>
        <v>9200000</v>
      </c>
      <c r="Q1" s="9">
        <f>+P1*12</f>
        <v>110400000</v>
      </c>
      <c r="R1" s="10" t="s">
        <v>2</v>
      </c>
      <c r="S1" s="10"/>
      <c r="T1" s="10"/>
    </row>
    <row r="2" spans="1:25" ht="26.25">
      <c r="A2" s="7"/>
      <c r="B2" s="189" t="s">
        <v>3</v>
      </c>
      <c r="C2" s="189"/>
      <c r="D2" s="189"/>
      <c r="E2" s="91"/>
      <c r="F2" s="91"/>
      <c r="G2" s="91"/>
      <c r="H2" s="126"/>
      <c r="I2" s="151"/>
      <c r="J2" s="4">
        <f>+J1/2</f>
        <v>1440000</v>
      </c>
      <c r="K2" s="11">
        <v>1150</v>
      </c>
      <c r="L2" s="11" t="s">
        <v>4</v>
      </c>
      <c r="O2" s="12" t="s">
        <v>5</v>
      </c>
      <c r="P2" s="13"/>
      <c r="Q2" s="14">
        <f>+K10</f>
        <v>297000</v>
      </c>
      <c r="R2" s="15" t="s">
        <v>6</v>
      </c>
      <c r="S2" s="15"/>
      <c r="T2" s="15"/>
      <c r="U2" s="16"/>
    </row>
    <row r="3" spans="1:25" ht="26.25">
      <c r="A3" s="7"/>
      <c r="B3" s="189" t="s">
        <v>7</v>
      </c>
      <c r="C3" s="189"/>
      <c r="D3" s="189"/>
      <c r="E3" s="91"/>
      <c r="F3" s="91"/>
      <c r="G3" s="91"/>
      <c r="H3" s="126"/>
      <c r="I3" s="151"/>
      <c r="K3" s="17">
        <f>1150*8000</f>
        <v>9200000</v>
      </c>
      <c r="O3" s="12" t="s">
        <v>8</v>
      </c>
      <c r="P3" s="13"/>
      <c r="Q3" s="14">
        <f>+L10</f>
        <v>297000</v>
      </c>
      <c r="R3" s="15" t="s">
        <v>9</v>
      </c>
      <c r="S3" s="15"/>
      <c r="T3" s="18"/>
      <c r="U3" s="16"/>
    </row>
    <row r="4" spans="1:25" ht="19.5" customHeight="1" thickBot="1">
      <c r="A4" s="7"/>
      <c r="B4" s="91"/>
      <c r="C4" s="91"/>
      <c r="D4" s="91"/>
      <c r="E4" s="91"/>
      <c r="F4" s="91"/>
      <c r="G4" s="91"/>
      <c r="H4" s="126"/>
      <c r="I4" s="151"/>
      <c r="K4" s="17"/>
      <c r="O4" s="12"/>
      <c r="P4" s="13"/>
      <c r="Q4" s="14"/>
      <c r="R4" s="15"/>
      <c r="S4" s="15"/>
      <c r="T4" s="18"/>
      <c r="U4" s="16"/>
    </row>
    <row r="5" spans="1:25" s="140" customFormat="1" ht="32.25" thickBot="1">
      <c r="A5" s="185" t="s">
        <v>10</v>
      </c>
      <c r="B5" s="186" t="s">
        <v>11</v>
      </c>
      <c r="C5" s="190" t="s">
        <v>12</v>
      </c>
      <c r="D5" s="191"/>
      <c r="E5" s="192" t="s">
        <v>13</v>
      </c>
      <c r="F5" s="192"/>
      <c r="G5" s="144" t="s">
        <v>14</v>
      </c>
      <c r="H5" s="131"/>
      <c r="I5" s="152" t="s">
        <v>15</v>
      </c>
      <c r="J5" s="132"/>
      <c r="K5" s="133">
        <v>42795</v>
      </c>
      <c r="L5" s="133">
        <v>42887</v>
      </c>
      <c r="M5" s="133">
        <v>42979</v>
      </c>
      <c r="N5" s="132"/>
      <c r="O5" s="134" t="s">
        <v>16</v>
      </c>
      <c r="P5" s="135"/>
      <c r="Q5" s="136">
        <f>+M10</f>
        <v>306000</v>
      </c>
      <c r="R5" s="137" t="s">
        <v>17</v>
      </c>
      <c r="S5" s="138">
        <v>9000</v>
      </c>
      <c r="T5" s="139"/>
      <c r="Y5" s="141"/>
    </row>
    <row r="6" spans="1:25" ht="19.5" customHeight="1" thickBot="1">
      <c r="A6" s="37"/>
      <c r="B6" s="120"/>
      <c r="C6" s="119" t="s">
        <v>18</v>
      </c>
      <c r="D6" s="119" t="s">
        <v>19</v>
      </c>
      <c r="E6" s="119" t="s">
        <v>18</v>
      </c>
      <c r="F6" s="119" t="s">
        <v>20</v>
      </c>
      <c r="G6" s="145"/>
      <c r="H6" s="127"/>
      <c r="I6" s="153"/>
      <c r="K6" s="22">
        <v>33</v>
      </c>
      <c r="L6" s="22">
        <v>33</v>
      </c>
      <c r="M6" s="22">
        <v>34</v>
      </c>
      <c r="O6" s="12" t="s">
        <v>21</v>
      </c>
      <c r="P6" s="13"/>
      <c r="Q6" s="14"/>
      <c r="R6" s="23"/>
      <c r="S6" s="24"/>
      <c r="T6" s="20">
        <v>9000</v>
      </c>
    </row>
    <row r="7" spans="1:25" ht="19.5" customHeight="1">
      <c r="A7" s="170">
        <v>0</v>
      </c>
      <c r="B7" s="171" t="s">
        <v>22</v>
      </c>
      <c r="C7" s="115" t="s">
        <v>0</v>
      </c>
      <c r="D7" s="96" t="s">
        <v>0</v>
      </c>
      <c r="E7" s="42" t="s">
        <v>0</v>
      </c>
      <c r="F7" s="96" t="s">
        <v>0</v>
      </c>
      <c r="G7" s="96"/>
      <c r="H7" s="127"/>
      <c r="I7" s="153"/>
      <c r="O7" s="12"/>
      <c r="P7" s="13"/>
      <c r="Q7" s="26">
        <f>SUM(Q1:Q6)</f>
        <v>111300000</v>
      </c>
      <c r="R7" s="27"/>
      <c r="S7" s="27"/>
      <c r="T7" s="20">
        <f>+T6</f>
        <v>9000</v>
      </c>
    </row>
    <row r="8" spans="1:25" ht="19.5" customHeight="1">
      <c r="A8" s="21" t="s">
        <v>23</v>
      </c>
      <c r="B8" s="25" t="s">
        <v>24</v>
      </c>
      <c r="C8" s="42"/>
      <c r="D8" s="42"/>
      <c r="E8" s="42"/>
      <c r="F8" s="42"/>
      <c r="G8" s="42"/>
      <c r="H8" s="98"/>
      <c r="J8" s="30"/>
      <c r="K8" s="30"/>
      <c r="O8" s="12">
        <f>1300*8000</f>
        <v>10400000</v>
      </c>
      <c r="P8" s="13">
        <f>+(O8*12)*0.8</f>
        <v>99840000</v>
      </c>
      <c r="Q8" s="26"/>
    </row>
    <row r="9" spans="1:25" ht="19.5" customHeight="1">
      <c r="A9" s="37"/>
      <c r="B9" s="97"/>
      <c r="C9" s="42"/>
      <c r="D9" s="42"/>
      <c r="E9" s="42"/>
      <c r="F9" s="42"/>
      <c r="G9" s="42"/>
      <c r="H9" s="98"/>
      <c r="I9" s="153"/>
      <c r="J9" s="30"/>
      <c r="K9" s="30"/>
      <c r="O9" s="12"/>
      <c r="P9" s="13"/>
      <c r="Q9" s="26"/>
    </row>
    <row r="10" spans="1:25" ht="19.5" customHeight="1">
      <c r="A10" s="29" t="s">
        <v>25</v>
      </c>
      <c r="B10" s="146" t="s">
        <v>26</v>
      </c>
      <c r="C10" s="36">
        <f>+D10/12</f>
        <v>9275000</v>
      </c>
      <c r="D10" s="36">
        <f>+Q7</f>
        <v>111300000</v>
      </c>
      <c r="E10" s="106">
        <f>+F10/12</f>
        <v>8320000</v>
      </c>
      <c r="F10" s="106">
        <f>+((1300*8000)*12)*0.8</f>
        <v>99840000</v>
      </c>
      <c r="G10" s="95">
        <f>+F10-D10</f>
        <v>-11460000</v>
      </c>
      <c r="H10" s="165" t="s">
        <v>27</v>
      </c>
      <c r="I10" s="164" t="s">
        <v>28</v>
      </c>
      <c r="J10" s="30"/>
      <c r="K10" s="30">
        <f>+K6*9000</f>
        <v>297000</v>
      </c>
      <c r="L10" s="30">
        <f>+L6*9000</f>
        <v>297000</v>
      </c>
      <c r="M10" s="30">
        <f>+M6*9000</f>
        <v>306000</v>
      </c>
      <c r="N10" s="30"/>
      <c r="O10" s="12">
        <f>1300*1000</f>
        <v>1300000</v>
      </c>
      <c r="P10" s="13">
        <f>+(O10*12)*0.8</f>
        <v>12480000</v>
      </c>
      <c r="Q10" s="26"/>
      <c r="T10" s="20">
        <v>9000</v>
      </c>
    </row>
    <row r="11" spans="1:25" ht="19.5" customHeight="1" thickBot="1">
      <c r="A11" s="29" t="s">
        <v>29</v>
      </c>
      <c r="B11" s="35" t="s">
        <v>30</v>
      </c>
      <c r="C11" s="36">
        <f>+D11/12</f>
        <v>1158333.3333333333</v>
      </c>
      <c r="D11" s="36">
        <f>+Q16</f>
        <v>13900000</v>
      </c>
      <c r="E11" s="106">
        <f>+F11/12</f>
        <v>1040000</v>
      </c>
      <c r="F11" s="106">
        <f>+((1300*1000)*12)*0.8</f>
        <v>12480000</v>
      </c>
      <c r="G11" s="95">
        <f>+F11-D11</f>
        <v>-1420000</v>
      </c>
      <c r="H11" s="165" t="s">
        <v>27</v>
      </c>
      <c r="I11" s="164" t="s">
        <v>28</v>
      </c>
      <c r="J11" s="30"/>
      <c r="K11" s="30">
        <f>+K6*1000</f>
        <v>33000</v>
      </c>
      <c r="L11" s="30">
        <f>+L6*1000</f>
        <v>33000</v>
      </c>
      <c r="M11" s="30">
        <f>+M6*1000</f>
        <v>34000</v>
      </c>
      <c r="N11" s="30"/>
      <c r="O11" s="31"/>
      <c r="P11" s="32"/>
      <c r="Q11" s="33">
        <f>+Q7/12</f>
        <v>9275000</v>
      </c>
    </row>
    <row r="12" spans="1:25" ht="19.5" customHeight="1">
      <c r="A12" s="29" t="s">
        <v>31</v>
      </c>
      <c r="B12" s="35" t="s">
        <v>32</v>
      </c>
      <c r="C12" s="36">
        <f>+D12/12</f>
        <v>231000</v>
      </c>
      <c r="D12" s="36">
        <v>2772000</v>
      </c>
      <c r="E12" s="106">
        <f>+F12/12</f>
        <v>817241.75</v>
      </c>
      <c r="F12" s="106">
        <f>+(49034505)*0.2</f>
        <v>9806901</v>
      </c>
      <c r="G12" s="95">
        <f>+F12-D12</f>
        <v>7034901</v>
      </c>
      <c r="H12" s="165" t="s">
        <v>33</v>
      </c>
      <c r="I12" s="163" t="s">
        <v>34</v>
      </c>
      <c r="J12" s="30"/>
      <c r="O12" s="8" t="s">
        <v>35</v>
      </c>
      <c r="P12" s="9">
        <f>1000*1150</f>
        <v>1150000</v>
      </c>
      <c r="Q12" s="34">
        <f>+P12*12</f>
        <v>13800000</v>
      </c>
    </row>
    <row r="13" spans="1:25" ht="19.5" customHeight="1">
      <c r="A13" s="29" t="s">
        <v>36</v>
      </c>
      <c r="B13" s="35" t="s">
        <v>37</v>
      </c>
      <c r="C13" s="36">
        <f>+D13/12</f>
        <v>416666.66666666669</v>
      </c>
      <c r="D13" s="36">
        <v>5000000</v>
      </c>
      <c r="E13" s="106">
        <f>+F13/12</f>
        <v>416666.66666666669</v>
      </c>
      <c r="F13" s="106">
        <v>5000000</v>
      </c>
      <c r="G13" s="95">
        <f>+F13-D13</f>
        <v>0</v>
      </c>
      <c r="H13" s="98"/>
      <c r="I13" s="153"/>
      <c r="J13" s="30"/>
      <c r="K13" s="30">
        <f>80*30000</f>
        <v>2400000</v>
      </c>
      <c r="L13" s="30">
        <f>+K13/12</f>
        <v>200000</v>
      </c>
      <c r="O13" s="12">
        <v>1150</v>
      </c>
      <c r="P13" s="13"/>
      <c r="Q13" s="26">
        <f>+K11</f>
        <v>33000</v>
      </c>
    </row>
    <row r="14" spans="1:25" ht="19.5" customHeight="1">
      <c r="A14" s="29" t="s">
        <v>38</v>
      </c>
      <c r="B14" s="35" t="s">
        <v>39</v>
      </c>
      <c r="C14" s="36">
        <f>+D14/12</f>
        <v>17500</v>
      </c>
      <c r="D14" s="36">
        <f>6*35000</f>
        <v>210000</v>
      </c>
      <c r="E14" s="106">
        <f>+F14/12</f>
        <v>17500</v>
      </c>
      <c r="F14" s="106">
        <f>6*35000</f>
        <v>210000</v>
      </c>
      <c r="G14" s="95">
        <f>+F14-D14</f>
        <v>0</v>
      </c>
      <c r="H14" s="98"/>
      <c r="I14" s="153"/>
      <c r="J14" s="30"/>
      <c r="K14" s="30"/>
      <c r="L14" s="30"/>
      <c r="O14" s="12" t="s">
        <v>8</v>
      </c>
      <c r="P14" s="13"/>
      <c r="Q14" s="26">
        <f>+L11</f>
        <v>33000</v>
      </c>
    </row>
    <row r="15" spans="1:25" ht="19.5" customHeight="1">
      <c r="A15" s="37"/>
      <c r="B15" s="97"/>
      <c r="C15" s="42"/>
      <c r="D15" s="42"/>
      <c r="E15" s="42"/>
      <c r="F15" s="42"/>
      <c r="G15" s="42"/>
      <c r="H15" s="98"/>
      <c r="I15" s="153"/>
      <c r="J15" s="30"/>
      <c r="K15" s="30">
        <v>50000</v>
      </c>
      <c r="L15" s="4" t="s">
        <v>40</v>
      </c>
      <c r="O15" s="12" t="s">
        <v>16</v>
      </c>
      <c r="P15" s="13"/>
      <c r="Q15" s="26">
        <f>+M11</f>
        <v>34000</v>
      </c>
    </row>
    <row r="16" spans="1:25" ht="19.5" customHeight="1">
      <c r="A16" s="21" t="s">
        <v>41</v>
      </c>
      <c r="B16" s="25" t="s">
        <v>42</v>
      </c>
      <c r="C16" s="115" t="s">
        <v>0</v>
      </c>
      <c r="D16" s="42" t="s">
        <v>0</v>
      </c>
      <c r="E16" s="42" t="s">
        <v>0</v>
      </c>
      <c r="F16" s="42" t="s">
        <v>0</v>
      </c>
      <c r="G16" s="42"/>
      <c r="H16" s="98"/>
      <c r="I16" s="153"/>
      <c r="J16" s="30"/>
      <c r="K16" s="38">
        <v>35000</v>
      </c>
      <c r="L16" s="39" t="s">
        <v>43</v>
      </c>
      <c r="O16" s="12" t="s">
        <v>21</v>
      </c>
      <c r="P16" s="13"/>
      <c r="Q16" s="26">
        <f>SUM(Q12:Q15)</f>
        <v>13900000</v>
      </c>
    </row>
    <row r="17" spans="1:25" ht="19.5" customHeight="1">
      <c r="A17" s="37"/>
      <c r="B17" s="97"/>
      <c r="C17" s="42"/>
      <c r="D17" s="42"/>
      <c r="E17" s="42"/>
      <c r="F17" s="42"/>
      <c r="G17" s="42"/>
      <c r="H17" s="98"/>
      <c r="I17" s="153"/>
      <c r="J17" s="30"/>
      <c r="K17" s="30"/>
      <c r="O17" s="12"/>
      <c r="P17" s="13"/>
      <c r="Q17" s="26"/>
    </row>
    <row r="18" spans="1:25" ht="19.5" customHeight="1">
      <c r="A18" s="29" t="s">
        <v>44</v>
      </c>
      <c r="B18" s="146" t="s">
        <v>45</v>
      </c>
      <c r="C18" s="36">
        <f t="shared" ref="C18:C25" si="0">+D18/12</f>
        <v>208333.33333333334</v>
      </c>
      <c r="D18" s="36">
        <v>2500000</v>
      </c>
      <c r="E18" s="106">
        <f t="shared" ref="E18:E25" si="1">+F18/12</f>
        <v>208333.33333333334</v>
      </c>
      <c r="F18" s="106">
        <v>2500000</v>
      </c>
      <c r="G18" s="95">
        <f t="shared" ref="G18:G25" si="2">+F18-D18</f>
        <v>0</v>
      </c>
      <c r="H18" s="98"/>
      <c r="I18" s="153"/>
      <c r="J18" s="30"/>
      <c r="K18" s="30">
        <f>+((5041.04-5032.36)*505)</f>
        <v>4383.400000000147</v>
      </c>
      <c r="L18" s="30">
        <f>+K18/5*12</f>
        <v>10520.160000000353</v>
      </c>
      <c r="M18" s="4">
        <f>+L18/12</f>
        <v>876.68000000002939</v>
      </c>
      <c r="O18" s="12"/>
      <c r="P18" s="13"/>
      <c r="Q18" s="26" t="s">
        <v>0</v>
      </c>
    </row>
    <row r="19" spans="1:25" ht="19.5" customHeight="1">
      <c r="A19" s="29" t="s">
        <v>46</v>
      </c>
      <c r="B19" s="35" t="s">
        <v>47</v>
      </c>
      <c r="C19" s="36">
        <f t="shared" si="0"/>
        <v>75000</v>
      </c>
      <c r="D19" s="36">
        <v>900000</v>
      </c>
      <c r="E19" s="106">
        <f t="shared" si="1"/>
        <v>75000</v>
      </c>
      <c r="F19" s="106">
        <v>900000</v>
      </c>
      <c r="G19" s="95">
        <f t="shared" si="2"/>
        <v>0</v>
      </c>
      <c r="H19" s="98"/>
      <c r="I19" s="153"/>
      <c r="J19" s="30"/>
      <c r="K19" s="30"/>
      <c r="L19" s="30"/>
      <c r="O19" s="12"/>
      <c r="P19" s="13"/>
      <c r="Q19" s="26" t="s">
        <v>0</v>
      </c>
    </row>
    <row r="20" spans="1:25" ht="19.5" customHeight="1">
      <c r="A20" s="29" t="s">
        <v>48</v>
      </c>
      <c r="B20" s="35" t="s">
        <v>49</v>
      </c>
      <c r="C20" s="36">
        <f t="shared" si="0"/>
        <v>4000</v>
      </c>
      <c r="D20" s="36">
        <v>48000</v>
      </c>
      <c r="E20" s="106">
        <f t="shared" si="1"/>
        <v>4000</v>
      </c>
      <c r="F20" s="106">
        <v>48000</v>
      </c>
      <c r="G20" s="95">
        <f t="shared" si="2"/>
        <v>0</v>
      </c>
      <c r="H20" s="98"/>
      <c r="I20" s="153"/>
      <c r="J20" s="30"/>
      <c r="O20" s="12"/>
      <c r="P20" s="13"/>
      <c r="Q20" s="26" t="s">
        <v>0</v>
      </c>
    </row>
    <row r="21" spans="1:25" ht="19.5" customHeight="1">
      <c r="A21" s="29" t="s">
        <v>50</v>
      </c>
      <c r="B21" s="35" t="s">
        <v>51</v>
      </c>
      <c r="C21" s="36">
        <f t="shared" si="0"/>
        <v>14583.333333333334</v>
      </c>
      <c r="D21" s="36">
        <v>175000</v>
      </c>
      <c r="E21" s="106">
        <f t="shared" si="1"/>
        <v>14583.333333333334</v>
      </c>
      <c r="F21" s="106">
        <v>175000</v>
      </c>
      <c r="G21" s="95">
        <f t="shared" si="2"/>
        <v>0</v>
      </c>
      <c r="H21" s="98"/>
      <c r="I21" s="153"/>
      <c r="J21" s="30" t="s">
        <v>0</v>
      </c>
      <c r="K21" s="4" t="s">
        <v>0</v>
      </c>
      <c r="O21" s="12"/>
      <c r="P21" s="13"/>
      <c r="Q21" s="26"/>
    </row>
    <row r="22" spans="1:25" ht="19.5" customHeight="1">
      <c r="A22" s="29" t="s">
        <v>52</v>
      </c>
      <c r="B22" s="35" t="s">
        <v>53</v>
      </c>
      <c r="C22" s="36">
        <f t="shared" si="0"/>
        <v>22916.666666666668</v>
      </c>
      <c r="D22" s="36">
        <v>275000</v>
      </c>
      <c r="E22" s="106">
        <f t="shared" si="1"/>
        <v>22916.666666666668</v>
      </c>
      <c r="F22" s="106">
        <v>275000</v>
      </c>
      <c r="G22" s="95">
        <f t="shared" si="2"/>
        <v>0</v>
      </c>
      <c r="H22" s="98"/>
      <c r="I22" s="153"/>
      <c r="J22" s="40">
        <v>5000</v>
      </c>
      <c r="O22" s="12"/>
      <c r="P22" s="13"/>
      <c r="Q22" s="26" t="s">
        <v>0</v>
      </c>
    </row>
    <row r="23" spans="1:25" ht="19.5" customHeight="1">
      <c r="A23" s="29" t="s">
        <v>54</v>
      </c>
      <c r="B23" s="35" t="s">
        <v>55</v>
      </c>
      <c r="C23" s="36">
        <f t="shared" si="0"/>
        <v>108333.33333333333</v>
      </c>
      <c r="D23" s="36">
        <v>1300000</v>
      </c>
      <c r="E23" s="106">
        <f t="shared" si="1"/>
        <v>108333.33333333333</v>
      </c>
      <c r="F23" s="106">
        <v>1300000</v>
      </c>
      <c r="G23" s="95">
        <f t="shared" si="2"/>
        <v>0</v>
      </c>
      <c r="H23" s="98"/>
      <c r="I23" s="153"/>
      <c r="J23" s="40">
        <v>5000</v>
      </c>
      <c r="K23" s="30">
        <f>36090*0.1</f>
        <v>3609</v>
      </c>
      <c r="O23" s="12"/>
      <c r="P23" s="13"/>
      <c r="Q23" s="26"/>
    </row>
    <row r="24" spans="1:25" ht="19.5" customHeight="1">
      <c r="A24" s="29" t="s">
        <v>56</v>
      </c>
      <c r="B24" s="35" t="s">
        <v>57</v>
      </c>
      <c r="C24" s="36">
        <f t="shared" si="0"/>
        <v>16666.666666666668</v>
      </c>
      <c r="D24" s="36">
        <v>200000</v>
      </c>
      <c r="E24" s="106">
        <f t="shared" si="1"/>
        <v>16666.666666666668</v>
      </c>
      <c r="F24" s="106">
        <v>200000</v>
      </c>
      <c r="G24" s="95">
        <f t="shared" si="2"/>
        <v>0</v>
      </c>
      <c r="H24" s="98"/>
      <c r="I24" s="153"/>
      <c r="J24" s="40">
        <v>10000</v>
      </c>
      <c r="K24" s="30"/>
      <c r="O24" s="12"/>
      <c r="P24" s="13"/>
      <c r="Q24" s="26"/>
    </row>
    <row r="25" spans="1:25" ht="19.5" customHeight="1">
      <c r="A25" s="29" t="s">
        <v>58</v>
      </c>
      <c r="B25" s="35" t="s">
        <v>59</v>
      </c>
      <c r="C25" s="36">
        <f t="shared" si="0"/>
        <v>85000</v>
      </c>
      <c r="D25" s="36">
        <v>1020000</v>
      </c>
      <c r="E25" s="106">
        <f t="shared" si="1"/>
        <v>85000</v>
      </c>
      <c r="F25" s="106">
        <v>1020000</v>
      </c>
      <c r="G25" s="95">
        <f t="shared" si="2"/>
        <v>0</v>
      </c>
      <c r="H25" s="98"/>
      <c r="I25" s="153"/>
      <c r="J25" s="30" t="s">
        <v>60</v>
      </c>
      <c r="K25" s="30"/>
      <c r="L25" s="30"/>
      <c r="O25" s="12"/>
      <c r="P25" s="13"/>
      <c r="Q25" s="26"/>
    </row>
    <row r="26" spans="1:25" ht="19.5" customHeight="1" thickBot="1">
      <c r="A26" s="37"/>
      <c r="B26" s="41" t="s">
        <v>0</v>
      </c>
      <c r="C26" s="42"/>
      <c r="D26" s="42"/>
      <c r="E26" s="42"/>
      <c r="F26" s="42"/>
      <c r="G26" s="42"/>
      <c r="H26" s="98"/>
      <c r="I26" s="153"/>
      <c r="J26" s="30"/>
      <c r="K26" s="30">
        <f>80000*500</f>
        <v>40000000</v>
      </c>
      <c r="L26" s="4">
        <f>+K26/12</f>
        <v>3333333.3333333335</v>
      </c>
      <c r="O26" s="12"/>
      <c r="P26" s="13"/>
      <c r="Q26" s="26"/>
    </row>
    <row r="27" spans="1:25" ht="19.5" customHeight="1" thickBot="1">
      <c r="A27" s="168"/>
      <c r="B27" s="168" t="s">
        <v>61</v>
      </c>
      <c r="C27" s="142">
        <f>SUM(C10:C25)</f>
        <v>11633333.333333334</v>
      </c>
      <c r="D27" s="142">
        <f>SUM(D10:D25)</f>
        <v>139600000</v>
      </c>
      <c r="E27" s="169">
        <f>SUM(E10:E25)</f>
        <v>11146241.75</v>
      </c>
      <c r="F27" s="169">
        <f>SUM(F10:F25)</f>
        <v>133754901</v>
      </c>
      <c r="G27" s="109">
        <f>+F27-D27</f>
        <v>-5845099</v>
      </c>
      <c r="H27" s="128"/>
      <c r="I27" s="155"/>
      <c r="J27" s="30"/>
      <c r="K27" s="30"/>
      <c r="O27" s="31"/>
      <c r="P27" s="32"/>
      <c r="Q27" s="33" t="s">
        <v>0</v>
      </c>
      <c r="X27" s="182"/>
      <c r="Y27" s="6" t="s">
        <v>0</v>
      </c>
    </row>
    <row r="28" spans="1:25" ht="19.5" customHeight="1">
      <c r="B28" s="2" t="s">
        <v>0</v>
      </c>
      <c r="J28" s="52"/>
      <c r="K28" s="5">
        <f>+K23*500</f>
        <v>1804500</v>
      </c>
      <c r="L28" s="5"/>
      <c r="M28" s="5"/>
    </row>
    <row r="29" spans="1:25" ht="19.5" customHeight="1">
      <c r="A29" s="170">
        <v>1</v>
      </c>
      <c r="B29" s="171" t="s">
        <v>62</v>
      </c>
      <c r="C29" s="121"/>
      <c r="D29" s="66"/>
      <c r="E29" s="66"/>
      <c r="F29" s="66"/>
      <c r="G29" s="66"/>
      <c r="H29" s="66"/>
      <c r="I29" s="156"/>
      <c r="J29" s="30"/>
      <c r="K29" s="30"/>
      <c r="M29" s="4">
        <f>+D1096</f>
        <v>0</v>
      </c>
    </row>
    <row r="30" spans="1:25" ht="19.5" customHeight="1">
      <c r="C30" s="101"/>
      <c r="D30" s="101"/>
      <c r="E30" s="101"/>
      <c r="F30" s="101"/>
      <c r="G30" s="101"/>
      <c r="J30" s="52"/>
      <c r="K30" s="5"/>
      <c r="L30" s="5"/>
      <c r="M30" s="5"/>
    </row>
    <row r="31" spans="1:25" ht="19.5" customHeight="1">
      <c r="A31" s="48" t="s">
        <v>63</v>
      </c>
      <c r="B31" s="49" t="s">
        <v>64</v>
      </c>
      <c r="C31" s="115">
        <f>+D31/12</f>
        <v>2416238.9</v>
      </c>
      <c r="D31" s="42">
        <f>SUM(D33:D37)</f>
        <v>28994866.800000001</v>
      </c>
      <c r="E31" s="166">
        <f>+F31/12</f>
        <v>2416238.9</v>
      </c>
      <c r="F31" s="166">
        <f>SUM(F33:F37)</f>
        <v>28994866.800000001</v>
      </c>
      <c r="G31" s="42">
        <f>+F31-D31</f>
        <v>0</v>
      </c>
      <c r="H31" s="98"/>
      <c r="I31" s="153"/>
      <c r="J31" s="5"/>
      <c r="K31" s="50">
        <f>+K28/12</f>
        <v>150375</v>
      </c>
      <c r="L31" s="50"/>
      <c r="M31" s="50"/>
      <c r="P31" s="47"/>
      <c r="R31" s="5"/>
      <c r="S31" s="5"/>
      <c r="V31" s="4"/>
      <c r="W31" s="4"/>
      <c r="Y31" s="6">
        <f>+D31+D41+D50+D52</f>
        <v>42975897.625262134</v>
      </c>
    </row>
    <row r="32" spans="1:25" ht="19.5" customHeight="1">
      <c r="J32" s="52"/>
      <c r="K32" s="5" t="s">
        <v>65</v>
      </c>
      <c r="L32" s="5">
        <v>5.0000000000000001E-3</v>
      </c>
      <c r="M32" s="5"/>
      <c r="P32" s="4" t="s">
        <v>66</v>
      </c>
    </row>
    <row r="33" spans="1:23" ht="19.5" customHeight="1">
      <c r="A33" s="29" t="s">
        <v>67</v>
      </c>
      <c r="B33" s="46" t="s">
        <v>68</v>
      </c>
      <c r="C33" s="36">
        <v>561339.75</v>
      </c>
      <c r="D33" s="36">
        <f>+C33*12</f>
        <v>6736077</v>
      </c>
      <c r="E33" s="106">
        <v>561339.75</v>
      </c>
      <c r="F33" s="106">
        <f>+E33*12</f>
        <v>6736077</v>
      </c>
      <c r="G33" s="95">
        <f>+F33-D33</f>
        <v>0</v>
      </c>
      <c r="H33" s="98"/>
      <c r="I33" s="163" t="s">
        <v>69</v>
      </c>
      <c r="J33" s="90" t="s">
        <v>70</v>
      </c>
      <c r="K33" s="47">
        <f>+C33</f>
        <v>561339.75</v>
      </c>
      <c r="L33" s="47">
        <f>K33*0.005</f>
        <v>2806.69875</v>
      </c>
      <c r="M33" s="47">
        <f>L33+K33</f>
        <v>564146.44874999998</v>
      </c>
      <c r="P33" s="47">
        <v>6524</v>
      </c>
      <c r="R33" s="5"/>
      <c r="S33" s="5"/>
      <c r="V33" s="4"/>
      <c r="W33" s="4"/>
    </row>
    <row r="34" spans="1:23" ht="19.5" customHeight="1">
      <c r="A34" s="29" t="s">
        <v>71</v>
      </c>
      <c r="B34" s="46" t="s">
        <v>72</v>
      </c>
      <c r="C34" s="36">
        <v>498655.26</v>
      </c>
      <c r="D34" s="36">
        <f>+C34*12</f>
        <v>5983863.1200000001</v>
      </c>
      <c r="E34" s="106">
        <v>498655.26</v>
      </c>
      <c r="F34" s="106">
        <f>+E34*12</f>
        <v>5983863.1200000001</v>
      </c>
      <c r="G34" s="95">
        <f>+F34-D34</f>
        <v>0</v>
      </c>
      <c r="H34" s="98"/>
      <c r="I34" s="163" t="s">
        <v>69</v>
      </c>
      <c r="J34" s="90" t="s">
        <v>73</v>
      </c>
      <c r="K34" s="47">
        <f>+C34</f>
        <v>498655.26</v>
      </c>
      <c r="L34" s="47">
        <f>K34*0.005</f>
        <v>2493.2763</v>
      </c>
      <c r="M34" s="47">
        <f>L34+K34</f>
        <v>501148.53630000004</v>
      </c>
      <c r="P34" s="47">
        <v>6848</v>
      </c>
      <c r="R34" s="5"/>
      <c r="S34" s="5"/>
      <c r="V34" s="4"/>
      <c r="W34" s="4"/>
    </row>
    <row r="35" spans="1:23" ht="19.5" customHeight="1">
      <c r="A35" s="29" t="s">
        <v>74</v>
      </c>
      <c r="B35" s="46" t="s">
        <v>75</v>
      </c>
      <c r="C35" s="36">
        <v>650000</v>
      </c>
      <c r="D35" s="36">
        <f>+C35*12</f>
        <v>7800000</v>
      </c>
      <c r="E35" s="106">
        <v>650000</v>
      </c>
      <c r="F35" s="106">
        <f>+E35*12</f>
        <v>7800000</v>
      </c>
      <c r="G35" s="95">
        <f>+F35-D35</f>
        <v>0</v>
      </c>
      <c r="H35" s="98"/>
      <c r="I35" s="163" t="s">
        <v>69</v>
      </c>
      <c r="J35" s="90" t="s">
        <v>76</v>
      </c>
      <c r="K35" s="47">
        <f>+C35</f>
        <v>650000</v>
      </c>
      <c r="L35" s="47">
        <f>K35*0.005</f>
        <v>3250</v>
      </c>
      <c r="M35" s="47">
        <f>L35+K35</f>
        <v>653250</v>
      </c>
      <c r="P35" s="47"/>
      <c r="R35" s="5"/>
      <c r="S35" s="5"/>
      <c r="V35" s="4"/>
      <c r="W35" s="4"/>
    </row>
    <row r="36" spans="1:23" ht="19.5" customHeight="1">
      <c r="A36" s="29" t="s">
        <v>77</v>
      </c>
      <c r="B36" s="46" t="s">
        <v>78</v>
      </c>
      <c r="C36" s="36">
        <v>360610.89</v>
      </c>
      <c r="D36" s="36">
        <f>+C36*12</f>
        <v>4327330.68</v>
      </c>
      <c r="E36" s="106">
        <v>360610.89</v>
      </c>
      <c r="F36" s="106">
        <f>+E36*12</f>
        <v>4327330.68</v>
      </c>
      <c r="G36" s="95">
        <f>+F36-D36</f>
        <v>0</v>
      </c>
      <c r="H36" s="98"/>
      <c r="I36" s="163" t="s">
        <v>69</v>
      </c>
      <c r="J36" s="90" t="s">
        <v>79</v>
      </c>
      <c r="K36" s="47">
        <f>+C36</f>
        <v>360610.89</v>
      </c>
      <c r="L36" s="47">
        <f>K36*0.005</f>
        <v>1803.0544500000001</v>
      </c>
      <c r="M36" s="47">
        <f>L36+K36</f>
        <v>362413.94445000001</v>
      </c>
      <c r="P36" s="47">
        <v>6501</v>
      </c>
      <c r="R36" s="5"/>
      <c r="S36" s="5"/>
      <c r="V36" s="4"/>
      <c r="W36" s="4"/>
    </row>
    <row r="37" spans="1:23" ht="19.5" customHeight="1">
      <c r="A37" s="29" t="s">
        <v>80</v>
      </c>
      <c r="B37" s="46" t="s">
        <v>81</v>
      </c>
      <c r="C37" s="36">
        <v>345633</v>
      </c>
      <c r="D37" s="36">
        <f>+C37*12</f>
        <v>4147596</v>
      </c>
      <c r="E37" s="106">
        <v>345633</v>
      </c>
      <c r="F37" s="106">
        <f>+E37*12</f>
        <v>4147596</v>
      </c>
      <c r="G37" s="95">
        <f>+F37-D37</f>
        <v>0</v>
      </c>
      <c r="H37" s="98"/>
      <c r="I37" s="163" t="s">
        <v>69</v>
      </c>
      <c r="J37" s="90" t="s">
        <v>82</v>
      </c>
      <c r="K37" s="47">
        <f>+C37</f>
        <v>345633</v>
      </c>
      <c r="L37" s="47">
        <f>K37*0.005</f>
        <v>1728.165</v>
      </c>
      <c r="M37" s="47">
        <f>L37+K37</f>
        <v>347361.16499999998</v>
      </c>
      <c r="P37" s="47">
        <v>6501</v>
      </c>
      <c r="R37" s="5"/>
      <c r="S37" s="5"/>
      <c r="V37" s="4"/>
      <c r="W37" s="4"/>
    </row>
    <row r="38" spans="1:23" ht="19.5" customHeight="1">
      <c r="J38" s="52"/>
      <c r="K38" s="5"/>
      <c r="L38" s="5"/>
      <c r="M38" s="5"/>
    </row>
    <row r="39" spans="1:23" ht="19.5" customHeight="1">
      <c r="A39" s="48" t="s">
        <v>83</v>
      </c>
      <c r="B39" s="49" t="s">
        <v>84</v>
      </c>
      <c r="C39" s="115" t="s">
        <v>0</v>
      </c>
      <c r="D39" s="42" t="s">
        <v>0</v>
      </c>
      <c r="E39" s="166">
        <f>SUM(E41:E43)</f>
        <v>183333.33333333334</v>
      </c>
      <c r="F39" s="166">
        <f>SUM(F41:F42)</f>
        <v>2200000</v>
      </c>
      <c r="G39" s="42"/>
      <c r="H39" s="98"/>
      <c r="I39" s="153"/>
      <c r="J39" s="5"/>
      <c r="K39" s="50"/>
      <c r="L39" s="50"/>
      <c r="M39" s="50"/>
      <c r="P39" s="47"/>
      <c r="R39" s="5"/>
      <c r="S39" s="5"/>
      <c r="V39" s="4"/>
      <c r="W39" s="4"/>
    </row>
    <row r="40" spans="1:23" ht="19.5" customHeight="1">
      <c r="J40" s="52"/>
      <c r="K40" s="5"/>
      <c r="L40" s="5"/>
      <c r="M40" s="5"/>
    </row>
    <row r="41" spans="1:23" ht="19.5" customHeight="1">
      <c r="A41" s="29" t="s">
        <v>85</v>
      </c>
      <c r="B41" s="51" t="s">
        <v>86</v>
      </c>
      <c r="C41" s="36">
        <f>+D41/12</f>
        <v>33333.333333333336</v>
      </c>
      <c r="D41" s="36">
        <v>400000</v>
      </c>
      <c r="E41" s="106">
        <f>+F41/12</f>
        <v>33333.333333333336</v>
      </c>
      <c r="F41" s="106">
        <v>400000</v>
      </c>
      <c r="G41" s="95">
        <f>+F41-D41</f>
        <v>0</v>
      </c>
      <c r="H41" s="98"/>
      <c r="I41" s="153"/>
      <c r="J41" s="5"/>
      <c r="K41" s="50">
        <f>SUM(K33:K37)</f>
        <v>2416238.9</v>
      </c>
      <c r="L41" s="50">
        <f>SUM(L33:L37)</f>
        <v>12081.194500000001</v>
      </c>
      <c r="M41" s="50">
        <f>SUM(M33:M37)</f>
        <v>2428320.0945000001</v>
      </c>
      <c r="O41" s="47">
        <f>M41-K41</f>
        <v>12081.194500000216</v>
      </c>
      <c r="P41" s="47">
        <f>SUM(P33:P37)+(O41*12)</f>
        <v>171348.33400000259</v>
      </c>
      <c r="R41" s="5"/>
      <c r="S41" s="5"/>
      <c r="V41" s="52">
        <f>T41-R41</f>
        <v>0</v>
      </c>
      <c r="W41" s="52">
        <f>V41*6</f>
        <v>0</v>
      </c>
    </row>
    <row r="42" spans="1:23" ht="19.5" customHeight="1">
      <c r="A42" s="29" t="s">
        <v>87</v>
      </c>
      <c r="B42" s="51" t="s">
        <v>88</v>
      </c>
      <c r="C42" s="36">
        <f>+D42/12</f>
        <v>300000</v>
      </c>
      <c r="D42" s="36">
        <v>3600000</v>
      </c>
      <c r="E42" s="106">
        <f>+F42/12</f>
        <v>150000</v>
      </c>
      <c r="F42" s="106">
        <f>150000*12</f>
        <v>1800000</v>
      </c>
      <c r="G42" s="95">
        <f>+F42-D42</f>
        <v>-1800000</v>
      </c>
      <c r="H42" s="98"/>
      <c r="I42" s="153"/>
      <c r="J42" s="5"/>
      <c r="K42" s="50"/>
      <c r="L42" s="50"/>
      <c r="M42" s="50">
        <f>+M41-O44</f>
        <v>12081.194500000216</v>
      </c>
      <c r="O42" s="47"/>
      <c r="P42" s="47"/>
      <c r="R42" s="5"/>
      <c r="S42" s="5"/>
      <c r="V42" s="52"/>
      <c r="W42" s="52"/>
    </row>
    <row r="43" spans="1:23" ht="19.5" customHeight="1">
      <c r="J43" s="52"/>
      <c r="K43" s="5" t="s">
        <v>89</v>
      </c>
      <c r="L43" s="5">
        <f>SUM(C33:C37)</f>
        <v>2416238.9</v>
      </c>
      <c r="M43" s="5">
        <f>SUM(D33:D37)+L44</f>
        <v>29166215.134000003</v>
      </c>
    </row>
    <row r="44" spans="1:23" ht="19.5" customHeight="1">
      <c r="A44" s="48">
        <v>1.03</v>
      </c>
      <c r="B44" s="49" t="s">
        <v>90</v>
      </c>
      <c r="C44" s="115"/>
      <c r="D44" s="42"/>
      <c r="E44" s="166">
        <f>SUM(E46:E48)</f>
        <v>338241.82516666665</v>
      </c>
      <c r="F44" s="166">
        <f>SUM(F46:F48)</f>
        <v>4058901.9019999998</v>
      </c>
      <c r="G44" s="42"/>
      <c r="H44" s="98"/>
      <c r="I44" s="153"/>
      <c r="J44" s="5"/>
      <c r="K44" s="50" t="s">
        <v>91</v>
      </c>
      <c r="L44" s="50">
        <f>+P41</f>
        <v>171348.33400000259</v>
      </c>
      <c r="M44" s="50"/>
      <c r="O44" s="4">
        <f>SUM(E33:E37)</f>
        <v>2416238.9</v>
      </c>
      <c r="P44" s="47"/>
      <c r="R44" s="5"/>
      <c r="S44" s="5"/>
      <c r="V44" s="4"/>
      <c r="W44" s="4"/>
    </row>
    <row r="45" spans="1:23" ht="19.5" customHeight="1" thickBot="1">
      <c r="J45" s="52"/>
      <c r="K45" s="5"/>
      <c r="L45" s="5"/>
      <c r="M45" s="5"/>
    </row>
    <row r="46" spans="1:23" ht="19.5" customHeight="1" thickBot="1">
      <c r="A46" s="29" t="s">
        <v>92</v>
      </c>
      <c r="B46" s="46" t="s">
        <v>93</v>
      </c>
      <c r="C46" s="36">
        <v>57575.811333333455</v>
      </c>
      <c r="D46" s="36">
        <v>690909.73600000143</v>
      </c>
      <c r="E46" s="106">
        <f>+((E35*0.0243)+(E33+E34+E36+E37)*0.015)</f>
        <v>42288.583499999993</v>
      </c>
      <c r="F46" s="106">
        <f>+E46*12</f>
        <v>507463.00199999992</v>
      </c>
      <c r="G46" s="95">
        <f>+F46-D46</f>
        <v>-183446.73400000151</v>
      </c>
      <c r="H46" s="98" t="s">
        <v>94</v>
      </c>
      <c r="I46" s="153" t="s">
        <v>95</v>
      </c>
      <c r="J46" s="30" t="s">
        <v>96</v>
      </c>
      <c r="K46" s="58"/>
      <c r="L46" s="59"/>
      <c r="M46" s="5"/>
      <c r="O46" s="30">
        <f>+O44/6</f>
        <v>402706.48333333334</v>
      </c>
      <c r="P46" s="50"/>
      <c r="R46" s="5"/>
      <c r="S46" s="5"/>
      <c r="V46" s="52"/>
      <c r="W46" s="52"/>
    </row>
    <row r="47" spans="1:23" ht="19.5" customHeight="1" thickBot="1">
      <c r="A47" s="29" t="s">
        <v>97</v>
      </c>
      <c r="B47" s="46" t="s">
        <v>98</v>
      </c>
      <c r="C47" s="36">
        <v>94600</v>
      </c>
      <c r="D47" s="36">
        <v>1135200</v>
      </c>
      <c r="E47" s="106">
        <v>94600</v>
      </c>
      <c r="F47" s="106">
        <f>+E47*12</f>
        <v>1135200</v>
      </c>
      <c r="G47" s="95">
        <f>+F47-D47</f>
        <v>0</v>
      </c>
      <c r="H47" s="98">
        <f>+E35*0.0243</f>
        <v>15795</v>
      </c>
      <c r="I47" s="153" t="s">
        <v>99</v>
      </c>
      <c r="J47" s="30"/>
      <c r="K47" s="58" t="s">
        <v>100</v>
      </c>
      <c r="L47" s="59">
        <f>L44/12</f>
        <v>14279.02783333355</v>
      </c>
      <c r="M47" s="4" t="e">
        <f>+#REF!/30000</f>
        <v>#REF!</v>
      </c>
      <c r="O47" s="30">
        <f>+O46/240</f>
        <v>1677.9436805555556</v>
      </c>
      <c r="P47" s="50"/>
      <c r="R47" s="5"/>
      <c r="S47" s="5"/>
      <c r="V47" s="52"/>
      <c r="W47" s="52"/>
    </row>
    <row r="48" spans="1:23" ht="19.5" customHeight="1">
      <c r="A48" s="29" t="s">
        <v>101</v>
      </c>
      <c r="B48" s="46" t="s">
        <v>102</v>
      </c>
      <c r="C48" s="36">
        <v>235539.55927777776</v>
      </c>
      <c r="D48" s="36">
        <v>2826474.711333333</v>
      </c>
      <c r="E48" s="106">
        <f>+F48/12</f>
        <v>201353.24166666667</v>
      </c>
      <c r="F48" s="106">
        <f>+O44</f>
        <v>2416238.9</v>
      </c>
      <c r="G48" s="95">
        <f>+F48-D48</f>
        <v>-410235.81133333314</v>
      </c>
      <c r="H48" s="98">
        <f>+(E33+E34+E36+E37)*0.015</f>
        <v>26493.583499999997</v>
      </c>
      <c r="I48" s="153"/>
      <c r="J48" s="30"/>
      <c r="K48" s="61"/>
      <c r="L48" s="62"/>
      <c r="O48" s="30">
        <f>+O47*1.5</f>
        <v>2516.9155208333332</v>
      </c>
      <c r="P48" s="50"/>
      <c r="R48" s="5"/>
      <c r="S48" s="5"/>
      <c r="V48" s="52"/>
      <c r="W48" s="52"/>
    </row>
    <row r="49" spans="1:23" ht="19.5" customHeight="1">
      <c r="J49" s="52"/>
      <c r="K49" s="5"/>
      <c r="L49" s="5"/>
      <c r="M49" s="5"/>
    </row>
    <row r="50" spans="1:23" ht="19.5" customHeight="1">
      <c r="A50" s="48" t="s">
        <v>103</v>
      </c>
      <c r="B50" s="49" t="s">
        <v>104</v>
      </c>
      <c r="C50" s="115">
        <v>387298.70394444448</v>
      </c>
      <c r="D50" s="42">
        <v>4647584.447333334</v>
      </c>
      <c r="E50" s="166">
        <f>SUM(E52:E53)</f>
        <v>1029195.70237</v>
      </c>
      <c r="F50" s="166">
        <f>SUM(F52:F53)</f>
        <v>12350348.428439999</v>
      </c>
      <c r="G50" s="42">
        <f>+F44-D50</f>
        <v>-588682.54533333424</v>
      </c>
      <c r="H50" s="98"/>
      <c r="I50" s="153"/>
      <c r="J50" s="5"/>
      <c r="K50" s="50"/>
      <c r="L50" s="50"/>
      <c r="M50" s="50" t="e">
        <f>+M47/8</f>
        <v>#REF!</v>
      </c>
      <c r="O50" s="4">
        <f>+C41/O48</f>
        <v>13.243723540747567</v>
      </c>
      <c r="P50" s="47"/>
      <c r="R50" s="5"/>
      <c r="S50" s="5"/>
      <c r="V50" s="4"/>
      <c r="W50" s="4"/>
    </row>
    <row r="51" spans="1:23" ht="19.5" customHeight="1" thickBot="1">
      <c r="A51" s="54"/>
      <c r="B51" s="55"/>
      <c r="C51" s="56"/>
      <c r="D51" s="42"/>
      <c r="E51" s="56"/>
      <c r="F51" s="42"/>
      <c r="G51" s="42"/>
      <c r="H51" s="98"/>
      <c r="I51" s="153"/>
      <c r="J51" s="30"/>
      <c r="K51" s="61"/>
      <c r="L51" s="62"/>
      <c r="O51" s="50"/>
      <c r="P51" s="50"/>
      <c r="R51" s="5"/>
      <c r="S51" s="5"/>
      <c r="V51" s="52"/>
      <c r="W51" s="52"/>
    </row>
    <row r="52" spans="1:23" ht="19.5" customHeight="1" thickBot="1">
      <c r="A52" s="29" t="s">
        <v>105</v>
      </c>
      <c r="B52" s="46" t="s">
        <v>106</v>
      </c>
      <c r="C52" s="95">
        <v>744210.79149406648</v>
      </c>
      <c r="D52" s="95">
        <v>8933446.377928799</v>
      </c>
      <c r="E52" s="106">
        <f>+O44*0.2633</f>
        <v>636195.70236999996</v>
      </c>
      <c r="F52" s="106">
        <f>+E52*12</f>
        <v>7634348.428439999</v>
      </c>
      <c r="G52" s="95">
        <f>+F52-D52</f>
        <v>-1299097.9494888</v>
      </c>
      <c r="H52" s="98"/>
      <c r="I52" s="153"/>
      <c r="J52" s="30"/>
      <c r="K52" s="58" t="s">
        <v>107</v>
      </c>
      <c r="L52" s="59">
        <f>+M43/12</f>
        <v>2430517.9278333336</v>
      </c>
      <c r="O52" s="50"/>
      <c r="P52" s="50"/>
      <c r="R52" s="5"/>
      <c r="S52" s="5"/>
      <c r="V52" s="52"/>
      <c r="W52" s="52"/>
    </row>
    <row r="53" spans="1:23" ht="19.5" customHeight="1">
      <c r="A53" s="29" t="s">
        <v>108</v>
      </c>
      <c r="B53" s="46" t="s">
        <v>109</v>
      </c>
      <c r="C53" s="95">
        <v>360000</v>
      </c>
      <c r="D53" s="95">
        <v>4320000</v>
      </c>
      <c r="E53" s="106">
        <f>F53/12</f>
        <v>393000</v>
      </c>
      <c r="F53" s="106">
        <f>393000*12</f>
        <v>4716000</v>
      </c>
      <c r="G53" s="95">
        <f>+F53-D53</f>
        <v>396000</v>
      </c>
      <c r="H53" s="98"/>
      <c r="I53" s="164" t="s">
        <v>110</v>
      </c>
      <c r="J53" s="30"/>
      <c r="K53" s="50"/>
      <c r="L53" s="50"/>
      <c r="M53" s="50"/>
      <c r="O53" s="50"/>
      <c r="P53" s="50"/>
      <c r="R53" s="5"/>
      <c r="S53" s="5"/>
      <c r="V53" s="52"/>
      <c r="W53" s="52"/>
    </row>
    <row r="54" spans="1:23" ht="19.5" customHeight="1">
      <c r="J54" s="52"/>
      <c r="K54" s="5"/>
      <c r="L54" s="5"/>
      <c r="M54" s="5"/>
    </row>
    <row r="55" spans="1:23" ht="19.5" customHeight="1">
      <c r="A55" s="48" t="s">
        <v>111</v>
      </c>
      <c r="B55" s="49" t="s">
        <v>112</v>
      </c>
      <c r="C55" s="115" t="s">
        <v>0</v>
      </c>
      <c r="D55" s="42" t="s">
        <v>0</v>
      </c>
      <c r="E55" s="166">
        <f>SUM(E57:E58)</f>
        <v>122000</v>
      </c>
      <c r="F55" s="166">
        <f>SUM(F57:F58)</f>
        <v>1464000</v>
      </c>
      <c r="G55" s="42"/>
      <c r="H55" s="98"/>
      <c r="I55" s="153"/>
      <c r="J55" s="5"/>
      <c r="K55" s="50"/>
      <c r="L55" s="50"/>
      <c r="M55" s="50"/>
      <c r="P55" s="47"/>
      <c r="R55" s="5"/>
      <c r="S55" s="5"/>
      <c r="V55" s="4">
        <f>W41/12</f>
        <v>0</v>
      </c>
      <c r="W55" s="4"/>
    </row>
    <row r="56" spans="1:23" ht="19.5" customHeight="1">
      <c r="J56" s="52"/>
      <c r="K56" s="5"/>
      <c r="L56" s="5"/>
      <c r="M56" s="5"/>
    </row>
    <row r="57" spans="1:23" ht="19.5" customHeight="1">
      <c r="A57" s="29" t="s">
        <v>113</v>
      </c>
      <c r="B57" s="51" t="s">
        <v>114</v>
      </c>
      <c r="C57" s="94">
        <f>+D57/12</f>
        <v>210000</v>
      </c>
      <c r="D57" s="94">
        <v>2520000</v>
      </c>
      <c r="E57" s="106">
        <f>9000*8</f>
        <v>72000</v>
      </c>
      <c r="F57" s="106">
        <f>+E57*12</f>
        <v>864000</v>
      </c>
      <c r="G57" s="95">
        <f>+F57-D57</f>
        <v>-1656000</v>
      </c>
      <c r="H57" s="98"/>
      <c r="I57" s="153"/>
      <c r="J57" s="30"/>
      <c r="R57" s="5"/>
      <c r="S57" s="5"/>
      <c r="V57" s="4"/>
      <c r="W57" s="4"/>
    </row>
    <row r="58" spans="1:23" ht="19.5" customHeight="1">
      <c r="A58" s="29" t="s">
        <v>115</v>
      </c>
      <c r="B58" s="57" t="s">
        <v>116</v>
      </c>
      <c r="C58" s="94">
        <f>+D58/12</f>
        <v>100000</v>
      </c>
      <c r="D58" s="94">
        <v>1200000</v>
      </c>
      <c r="E58" s="106">
        <f>10*5000</f>
        <v>50000</v>
      </c>
      <c r="F58" s="106">
        <f>+E58*12</f>
        <v>600000</v>
      </c>
      <c r="G58" s="95">
        <f>+F58-D58</f>
        <v>-600000</v>
      </c>
      <c r="H58" s="98"/>
      <c r="I58" s="153"/>
      <c r="J58" s="30"/>
      <c r="K58" s="5"/>
      <c r="L58" s="5"/>
      <c r="M58" s="5"/>
      <c r="R58" s="5"/>
      <c r="S58" s="5"/>
      <c r="V58" s="4"/>
      <c r="W58" s="4"/>
    </row>
    <row r="59" spans="1:23" ht="19.5" customHeight="1">
      <c r="J59" s="52"/>
      <c r="K59" s="5"/>
      <c r="L59" s="5"/>
      <c r="M59" s="5"/>
    </row>
    <row r="60" spans="1:23" ht="19.5" customHeight="1">
      <c r="A60" s="48">
        <v>3</v>
      </c>
      <c r="B60" s="49" t="s">
        <v>117</v>
      </c>
      <c r="C60" s="115" t="s">
        <v>0</v>
      </c>
      <c r="D60" s="42" t="s">
        <v>0</v>
      </c>
      <c r="E60" s="166">
        <f>+E62</f>
        <v>83333.333333333328</v>
      </c>
      <c r="F60" s="166">
        <f>+F62</f>
        <v>1000000</v>
      </c>
      <c r="G60" s="42"/>
      <c r="H60" s="98"/>
      <c r="I60" s="153"/>
      <c r="J60" s="5"/>
      <c r="K60" s="50"/>
      <c r="L60" s="50"/>
      <c r="M60" s="50"/>
      <c r="P60" s="47"/>
      <c r="R60" s="5"/>
      <c r="S60" s="5"/>
      <c r="V60" s="4"/>
      <c r="W60" s="4"/>
    </row>
    <row r="61" spans="1:23" ht="19.5" customHeight="1">
      <c r="J61" s="52"/>
      <c r="K61" s="5"/>
      <c r="L61" s="5"/>
      <c r="M61" s="5"/>
    </row>
    <row r="62" spans="1:23" ht="19.5" customHeight="1">
      <c r="A62" s="54" t="s">
        <v>118</v>
      </c>
      <c r="B62" s="51" t="s">
        <v>119</v>
      </c>
      <c r="C62" s="36">
        <f>+D62/12</f>
        <v>83333.333333333328</v>
      </c>
      <c r="D62" s="36">
        <v>1000000</v>
      </c>
      <c r="E62" s="106">
        <f>+F62/12</f>
        <v>83333.333333333328</v>
      </c>
      <c r="F62" s="106">
        <v>1000000</v>
      </c>
      <c r="G62" s="95">
        <f>+F62-D62</f>
        <v>0</v>
      </c>
      <c r="H62" s="98"/>
      <c r="I62" s="153"/>
      <c r="K62" s="63"/>
      <c r="L62" s="64"/>
    </row>
    <row r="63" spans="1:23" ht="19.5" customHeight="1">
      <c r="A63" s="65"/>
      <c r="B63" s="3"/>
      <c r="K63" s="63"/>
      <c r="L63" s="64"/>
    </row>
    <row r="64" spans="1:23" ht="19.5" customHeight="1">
      <c r="A64" s="48">
        <v>4</v>
      </c>
      <c r="B64" s="111" t="s">
        <v>120</v>
      </c>
      <c r="C64" s="115" t="s">
        <v>0</v>
      </c>
      <c r="D64" s="42" t="s">
        <v>0</v>
      </c>
      <c r="E64" s="166">
        <f>SUM(E66:E69)</f>
        <v>131666.66666666669</v>
      </c>
      <c r="F64" s="166">
        <f>SUM(F66:F69)</f>
        <v>1580000</v>
      </c>
      <c r="G64" s="42"/>
      <c r="H64" s="98"/>
      <c r="I64" s="153"/>
      <c r="K64" s="63"/>
      <c r="L64" s="64"/>
    </row>
    <row r="65" spans="1:15" ht="19.5" customHeight="1">
      <c r="A65" s="65"/>
      <c r="B65" s="3"/>
      <c r="K65" s="63"/>
      <c r="L65" s="64"/>
    </row>
    <row r="66" spans="1:15" ht="19.5" customHeight="1">
      <c r="A66" s="45">
        <v>4.01</v>
      </c>
      <c r="B66" s="46" t="s">
        <v>121</v>
      </c>
      <c r="C66" s="36">
        <f>+D66/12</f>
        <v>50000</v>
      </c>
      <c r="D66" s="36">
        <v>600000</v>
      </c>
      <c r="E66" s="106">
        <f>+F66/12</f>
        <v>62500</v>
      </c>
      <c r="F66" s="106">
        <v>750000</v>
      </c>
      <c r="G66" s="148">
        <f>+F66-D66</f>
        <v>150000</v>
      </c>
      <c r="H66" s="149">
        <v>750000</v>
      </c>
      <c r="I66" s="153"/>
      <c r="K66" s="63"/>
      <c r="L66" s="64"/>
    </row>
    <row r="67" spans="1:15" ht="19.5" customHeight="1">
      <c r="A67" s="45">
        <v>4.0199999999999996</v>
      </c>
      <c r="B67" s="46" t="s">
        <v>122</v>
      </c>
      <c r="C67" s="36">
        <f>+D67/12</f>
        <v>4166.666666666667</v>
      </c>
      <c r="D67" s="36">
        <v>50000</v>
      </c>
      <c r="E67" s="106">
        <f>+F67/12</f>
        <v>4166.666666666667</v>
      </c>
      <c r="F67" s="106">
        <v>50000</v>
      </c>
      <c r="G67" s="95">
        <f>+F67-D67</f>
        <v>0</v>
      </c>
      <c r="H67" s="98"/>
      <c r="I67" s="153"/>
      <c r="K67" s="63"/>
      <c r="L67" s="64"/>
    </row>
    <row r="68" spans="1:15" ht="19.5" customHeight="1">
      <c r="A68" s="45">
        <v>4.03</v>
      </c>
      <c r="B68" s="46" t="s">
        <v>123</v>
      </c>
      <c r="C68" s="36">
        <f>+D68/12</f>
        <v>15000</v>
      </c>
      <c r="D68" s="36">
        <v>180000</v>
      </c>
      <c r="E68" s="106">
        <f>+F68/12</f>
        <v>15000</v>
      </c>
      <c r="F68" s="106">
        <v>180000</v>
      </c>
      <c r="G68" s="95">
        <f>+F68-D68</f>
        <v>0</v>
      </c>
      <c r="H68" s="98"/>
      <c r="I68" s="164" t="s">
        <v>124</v>
      </c>
      <c r="K68" s="63"/>
      <c r="L68" s="64"/>
    </row>
    <row r="69" spans="1:15" ht="19.5" customHeight="1">
      <c r="A69" s="45">
        <v>4.04</v>
      </c>
      <c r="B69" s="46" t="s">
        <v>125</v>
      </c>
      <c r="C69" s="36">
        <f>+D69/12</f>
        <v>50000</v>
      </c>
      <c r="D69" s="36">
        <v>600000</v>
      </c>
      <c r="E69" s="106">
        <f>+F69/12</f>
        <v>50000</v>
      </c>
      <c r="F69" s="106">
        <v>600000</v>
      </c>
      <c r="G69" s="95">
        <f>+F69-D69</f>
        <v>0</v>
      </c>
      <c r="H69" s="98"/>
      <c r="I69" s="163" t="s">
        <v>126</v>
      </c>
      <c r="K69" s="63"/>
      <c r="L69" s="64"/>
    </row>
    <row r="70" spans="1:15" ht="19.5" customHeight="1">
      <c r="A70" s="65"/>
      <c r="B70" s="3"/>
      <c r="K70" s="63"/>
      <c r="L70" s="64"/>
    </row>
    <row r="71" spans="1:15" ht="19.5" customHeight="1">
      <c r="A71" s="48">
        <v>5</v>
      </c>
      <c r="B71" s="44" t="s">
        <v>127</v>
      </c>
      <c r="C71" s="115" t="s">
        <v>0</v>
      </c>
      <c r="D71" s="42" t="s">
        <v>0</v>
      </c>
      <c r="E71" s="166">
        <f>SUM(E73:E79)</f>
        <v>34000</v>
      </c>
      <c r="F71" s="166">
        <f>SUM(F73:F79)</f>
        <v>408000</v>
      </c>
      <c r="G71" s="42"/>
      <c r="H71" s="98"/>
      <c r="I71" s="153"/>
      <c r="J71" s="30"/>
    </row>
    <row r="72" spans="1:15" ht="19.5" customHeight="1">
      <c r="A72" s="65"/>
      <c r="B72" s="3"/>
      <c r="K72" s="63"/>
      <c r="L72" s="64"/>
    </row>
    <row r="73" spans="1:15" ht="19.5" customHeight="1">
      <c r="A73" s="29" t="s">
        <v>128</v>
      </c>
      <c r="B73" s="46" t="s">
        <v>129</v>
      </c>
      <c r="C73" s="36">
        <f t="shared" ref="C73:C79" si="3">+D73/12</f>
        <v>8000</v>
      </c>
      <c r="D73" s="36">
        <v>96000</v>
      </c>
      <c r="E73" s="106">
        <f t="shared" ref="E73:E79" si="4">+F73/12</f>
        <v>4000</v>
      </c>
      <c r="F73" s="106">
        <v>48000</v>
      </c>
      <c r="G73" s="95">
        <f t="shared" ref="G73:G79" si="5">+F73-D73</f>
        <v>-48000</v>
      </c>
      <c r="H73" s="98">
        <v>4000</v>
      </c>
      <c r="I73" s="163" t="s">
        <v>130</v>
      </c>
      <c r="J73" s="30"/>
    </row>
    <row r="74" spans="1:15" ht="19.5" customHeight="1">
      <c r="A74" s="29" t="s">
        <v>131</v>
      </c>
      <c r="B74" s="46" t="s">
        <v>132</v>
      </c>
      <c r="C74" s="36">
        <f t="shared" si="3"/>
        <v>8000</v>
      </c>
      <c r="D74" s="36">
        <v>96000</v>
      </c>
      <c r="E74" s="106">
        <f t="shared" si="4"/>
        <v>4000</v>
      </c>
      <c r="F74" s="106">
        <v>48000</v>
      </c>
      <c r="G74" s="95">
        <f t="shared" si="5"/>
        <v>-48000</v>
      </c>
      <c r="H74" s="98">
        <v>4000</v>
      </c>
      <c r="I74" s="163" t="s">
        <v>130</v>
      </c>
      <c r="J74" s="30"/>
    </row>
    <row r="75" spans="1:15" ht="19.5" customHeight="1">
      <c r="A75" s="29" t="s">
        <v>133</v>
      </c>
      <c r="B75" s="46" t="s">
        <v>134</v>
      </c>
      <c r="C75" s="36">
        <f t="shared" si="3"/>
        <v>8000</v>
      </c>
      <c r="D75" s="36">
        <v>96000</v>
      </c>
      <c r="E75" s="106">
        <f t="shared" si="4"/>
        <v>4000</v>
      </c>
      <c r="F75" s="106">
        <v>48000</v>
      </c>
      <c r="G75" s="95">
        <f t="shared" si="5"/>
        <v>-48000</v>
      </c>
      <c r="H75" s="98">
        <v>4000</v>
      </c>
      <c r="I75" s="163" t="s">
        <v>130</v>
      </c>
      <c r="J75" s="30"/>
    </row>
    <row r="76" spans="1:15" ht="19.5" customHeight="1">
      <c r="A76" s="29" t="s">
        <v>135</v>
      </c>
      <c r="B76" s="46" t="s">
        <v>136</v>
      </c>
      <c r="C76" s="36">
        <f t="shared" si="3"/>
        <v>4000</v>
      </c>
      <c r="D76" s="36">
        <v>48000</v>
      </c>
      <c r="E76" s="106">
        <f t="shared" si="4"/>
        <v>4000</v>
      </c>
      <c r="F76" s="106">
        <v>48000</v>
      </c>
      <c r="G76" s="95">
        <f t="shared" si="5"/>
        <v>0</v>
      </c>
      <c r="H76" s="98"/>
      <c r="I76" s="163" t="s">
        <v>130</v>
      </c>
      <c r="J76" s="5"/>
      <c r="K76" s="5"/>
      <c r="L76" s="5"/>
      <c r="M76" s="5"/>
      <c r="N76" s="5"/>
      <c r="O76" s="5"/>
    </row>
    <row r="77" spans="1:15" ht="19.5" customHeight="1">
      <c r="A77" s="29" t="s">
        <v>137</v>
      </c>
      <c r="B77" s="46" t="s">
        <v>138</v>
      </c>
      <c r="C77" s="36">
        <f t="shared" si="3"/>
        <v>4000</v>
      </c>
      <c r="D77" s="36">
        <v>48000</v>
      </c>
      <c r="E77" s="106">
        <f t="shared" si="4"/>
        <v>4000</v>
      </c>
      <c r="F77" s="106">
        <v>48000</v>
      </c>
      <c r="G77" s="95">
        <f t="shared" si="5"/>
        <v>0</v>
      </c>
      <c r="H77" s="98"/>
      <c r="I77" s="163" t="s">
        <v>130</v>
      </c>
      <c r="J77" s="5"/>
      <c r="K77" s="5"/>
      <c r="L77" s="5"/>
      <c r="M77" s="5"/>
      <c r="N77" s="5"/>
      <c r="O77" s="5"/>
    </row>
    <row r="78" spans="1:15" ht="19.5" customHeight="1">
      <c r="A78" s="29" t="s">
        <v>139</v>
      </c>
      <c r="B78" s="46" t="s">
        <v>140</v>
      </c>
      <c r="C78" s="36">
        <f t="shared" si="3"/>
        <v>8000</v>
      </c>
      <c r="D78" s="36">
        <v>96000</v>
      </c>
      <c r="E78" s="106">
        <f t="shared" si="4"/>
        <v>4000</v>
      </c>
      <c r="F78" s="106">
        <v>48000</v>
      </c>
      <c r="G78" s="95">
        <f t="shared" si="5"/>
        <v>-48000</v>
      </c>
      <c r="H78" s="98">
        <v>4000</v>
      </c>
      <c r="I78" s="163" t="s">
        <v>130</v>
      </c>
      <c r="J78" s="5"/>
      <c r="K78" s="5"/>
      <c r="L78" s="5"/>
      <c r="M78" s="5"/>
      <c r="N78" s="5"/>
      <c r="O78" s="5"/>
    </row>
    <row r="79" spans="1:15" ht="19.5" customHeight="1">
      <c r="A79" s="29" t="s">
        <v>141</v>
      </c>
      <c r="B79" s="46" t="s">
        <v>142</v>
      </c>
      <c r="C79" s="36">
        <f t="shared" si="3"/>
        <v>20000</v>
      </c>
      <c r="D79" s="36">
        <v>240000</v>
      </c>
      <c r="E79" s="106">
        <f t="shared" si="4"/>
        <v>10000</v>
      </c>
      <c r="F79" s="106">
        <v>120000</v>
      </c>
      <c r="G79" s="95">
        <f t="shared" si="5"/>
        <v>-120000</v>
      </c>
      <c r="H79" s="98"/>
      <c r="I79" s="163" t="s">
        <v>130</v>
      </c>
      <c r="J79" s="5"/>
      <c r="K79" s="5"/>
      <c r="L79" s="5"/>
      <c r="M79" s="5"/>
      <c r="N79" s="5"/>
      <c r="O79" s="5"/>
    </row>
    <row r="80" spans="1:15" ht="19.5" customHeight="1">
      <c r="A80" s="37"/>
      <c r="B80" s="5"/>
      <c r="C80" s="5"/>
      <c r="D80" s="5"/>
      <c r="E80" s="5"/>
      <c r="F80" s="5"/>
      <c r="G80" s="5"/>
      <c r="H80" s="102"/>
      <c r="I80" s="157"/>
      <c r="J80" s="5"/>
      <c r="K80" s="5"/>
      <c r="L80" s="5"/>
      <c r="M80" s="5"/>
      <c r="N80" s="5"/>
      <c r="O80" s="5"/>
    </row>
    <row r="81" spans="1:23" ht="19.5" customHeight="1">
      <c r="A81" s="48">
        <v>6</v>
      </c>
      <c r="B81" s="49" t="s">
        <v>143</v>
      </c>
      <c r="C81" s="115" t="s">
        <v>0</v>
      </c>
      <c r="D81" s="42" t="s">
        <v>0</v>
      </c>
      <c r="E81" s="166">
        <f>+E83</f>
        <v>62500</v>
      </c>
      <c r="F81" s="166">
        <f>+F83</f>
        <v>750000</v>
      </c>
      <c r="G81" s="42"/>
      <c r="H81" s="98"/>
      <c r="I81" s="153"/>
      <c r="J81" s="5"/>
      <c r="K81" s="50"/>
      <c r="L81" s="50"/>
      <c r="M81" s="50"/>
      <c r="P81" s="47"/>
      <c r="R81" s="5"/>
      <c r="S81" s="5"/>
      <c r="V81" s="4"/>
      <c r="W81" s="4"/>
    </row>
    <row r="82" spans="1:23" ht="19.5" customHeight="1">
      <c r="A82" s="37"/>
      <c r="B82" s="66"/>
      <c r="C82" s="115"/>
      <c r="D82" s="42"/>
      <c r="E82" s="42"/>
      <c r="F82" s="42"/>
      <c r="G82" s="42"/>
      <c r="H82" s="98"/>
      <c r="I82" s="153"/>
      <c r="J82" s="5"/>
      <c r="K82" s="5"/>
      <c r="L82" s="5"/>
      <c r="M82" s="5"/>
      <c r="N82" s="5"/>
      <c r="O82" s="5"/>
    </row>
    <row r="83" spans="1:23" ht="19.5" customHeight="1">
      <c r="A83" s="29" t="s">
        <v>144</v>
      </c>
      <c r="B83" s="46" t="s">
        <v>145</v>
      </c>
      <c r="C83" s="36">
        <f>+D83/12</f>
        <v>62500</v>
      </c>
      <c r="D83" s="36">
        <v>750000</v>
      </c>
      <c r="E83" s="106">
        <f>+F83/12</f>
        <v>62500</v>
      </c>
      <c r="F83" s="106">
        <v>750000</v>
      </c>
      <c r="G83" s="95">
        <f>+F83-D83</f>
        <v>0</v>
      </c>
      <c r="H83" s="98"/>
      <c r="I83" s="163" t="s">
        <v>146</v>
      </c>
      <c r="J83" s="5"/>
      <c r="K83" s="5"/>
      <c r="L83" s="5"/>
      <c r="M83" s="5"/>
      <c r="N83" s="5"/>
      <c r="O83" s="5"/>
    </row>
    <row r="84" spans="1:23" ht="19.5" customHeight="1">
      <c r="A84" s="37"/>
      <c r="B84" s="43"/>
      <c r="C84" s="115"/>
      <c r="D84" s="42"/>
      <c r="E84" s="42"/>
      <c r="F84" s="42"/>
      <c r="G84" s="42"/>
      <c r="H84" s="98"/>
      <c r="I84" s="153"/>
      <c r="J84" s="5"/>
      <c r="K84" s="5"/>
      <c r="L84" s="5"/>
      <c r="M84" s="5"/>
      <c r="N84" s="5"/>
      <c r="O84" s="5"/>
    </row>
    <row r="85" spans="1:23" ht="19.5" customHeight="1">
      <c r="A85" s="48">
        <v>7</v>
      </c>
      <c r="B85" s="49" t="s">
        <v>147</v>
      </c>
      <c r="C85" s="115" t="s">
        <v>0</v>
      </c>
      <c r="D85" s="42" t="s">
        <v>0</v>
      </c>
      <c r="E85" s="166">
        <f>+E87</f>
        <v>133333.33333333334</v>
      </c>
      <c r="F85" s="166">
        <f>+F87</f>
        <v>1600000</v>
      </c>
      <c r="G85" s="42"/>
      <c r="H85" s="98"/>
      <c r="I85" s="153"/>
      <c r="J85" s="5"/>
      <c r="K85" s="50"/>
      <c r="L85" s="50"/>
      <c r="M85" s="50"/>
      <c r="P85" s="47"/>
      <c r="R85" s="5"/>
      <c r="S85" s="5"/>
      <c r="V85" s="4"/>
      <c r="W85" s="4"/>
    </row>
    <row r="86" spans="1:23" ht="19.5" customHeight="1">
      <c r="A86" s="37"/>
      <c r="B86" s="66"/>
      <c r="C86" s="67"/>
      <c r="D86" s="67"/>
      <c r="E86" s="67"/>
      <c r="F86" s="67"/>
      <c r="G86" s="67"/>
      <c r="H86" s="103"/>
      <c r="I86" s="158"/>
      <c r="J86" s="5"/>
      <c r="K86" s="5"/>
      <c r="L86" s="5"/>
      <c r="M86" s="5"/>
      <c r="N86" s="5"/>
      <c r="O86" s="5"/>
    </row>
    <row r="87" spans="1:23" ht="19.5" customHeight="1">
      <c r="A87" s="29" t="s">
        <v>148</v>
      </c>
      <c r="B87" s="68" t="s">
        <v>149</v>
      </c>
      <c r="C87" s="36">
        <f>+D87/12</f>
        <v>133333.33333333334</v>
      </c>
      <c r="D87" s="36">
        <v>1600000</v>
      </c>
      <c r="E87" s="106">
        <f>+F87/12</f>
        <v>133333.33333333334</v>
      </c>
      <c r="F87" s="106">
        <v>1600000</v>
      </c>
      <c r="G87" s="95">
        <f>+F87-D87</f>
        <v>0</v>
      </c>
      <c r="H87" s="98"/>
      <c r="I87" s="163" t="s">
        <v>150</v>
      </c>
      <c r="J87" s="5"/>
      <c r="K87" s="5"/>
      <c r="L87" s="5"/>
      <c r="M87" s="5"/>
      <c r="N87" s="5"/>
      <c r="O87" s="5"/>
    </row>
    <row r="88" spans="1:23" ht="19.5" customHeight="1">
      <c r="A88" s="37"/>
      <c r="B88" s="69"/>
      <c r="C88" s="42"/>
      <c r="D88" s="42"/>
      <c r="E88" s="42"/>
      <c r="F88" s="42"/>
      <c r="G88" s="42"/>
      <c r="H88" s="98"/>
      <c r="I88" s="153"/>
      <c r="J88" s="5"/>
      <c r="K88" s="5"/>
      <c r="L88" s="5"/>
      <c r="M88" s="5"/>
      <c r="N88" s="5"/>
      <c r="O88" s="5"/>
    </row>
    <row r="89" spans="1:23" ht="19.5" customHeight="1">
      <c r="A89" s="48">
        <v>8</v>
      </c>
      <c r="B89" s="49" t="s">
        <v>151</v>
      </c>
      <c r="C89" s="115" t="s">
        <v>0</v>
      </c>
      <c r="D89" s="42" t="s">
        <v>0</v>
      </c>
      <c r="E89" s="42" t="s">
        <v>0</v>
      </c>
      <c r="F89" s="42" t="s">
        <v>0</v>
      </c>
      <c r="G89" s="42"/>
      <c r="H89" s="98"/>
      <c r="I89" s="153"/>
      <c r="J89" s="5"/>
      <c r="K89" s="50"/>
      <c r="L89" s="50"/>
      <c r="M89" s="50"/>
      <c r="P89" s="47"/>
      <c r="R89" s="5"/>
      <c r="S89" s="5"/>
      <c r="V89" s="4"/>
      <c r="W89" s="4"/>
    </row>
    <row r="90" spans="1:23" ht="19.5" customHeight="1">
      <c r="A90" s="37"/>
      <c r="B90" s="69"/>
      <c r="C90" s="115"/>
      <c r="D90" s="42"/>
      <c r="E90" s="42"/>
      <c r="F90" s="42"/>
      <c r="G90" s="42"/>
      <c r="H90" s="98"/>
      <c r="I90" s="153"/>
      <c r="J90" s="5"/>
      <c r="K90" s="5"/>
      <c r="L90" s="5"/>
      <c r="M90" s="5"/>
      <c r="N90" s="5"/>
      <c r="O90" s="5"/>
    </row>
    <row r="91" spans="1:23" ht="19.5" customHeight="1">
      <c r="A91" s="48" t="s">
        <v>152</v>
      </c>
      <c r="B91" s="49" t="s">
        <v>153</v>
      </c>
      <c r="C91" s="115"/>
      <c r="D91" s="42"/>
      <c r="E91" s="166">
        <f>SUM(E93:E94)</f>
        <v>177083.33333333334</v>
      </c>
      <c r="F91" s="166">
        <f>SUM(F93:F94)</f>
        <v>2125000</v>
      </c>
      <c r="G91" s="42"/>
      <c r="H91" s="98"/>
      <c r="I91" s="153"/>
      <c r="J91" s="5"/>
      <c r="K91" s="50"/>
      <c r="L91" s="50"/>
      <c r="M91" s="50"/>
      <c r="P91" s="47"/>
      <c r="R91" s="5"/>
      <c r="S91" s="5"/>
      <c r="V91" s="4"/>
      <c r="W91" s="4"/>
    </row>
    <row r="92" spans="1:23" ht="19.5" customHeight="1">
      <c r="A92" s="37"/>
      <c r="B92" s="69"/>
      <c r="C92" s="42"/>
      <c r="D92" s="42"/>
      <c r="E92" s="42"/>
      <c r="F92" s="42"/>
      <c r="G92" s="42"/>
      <c r="H92" s="98"/>
      <c r="I92" s="153"/>
      <c r="J92" s="5"/>
      <c r="K92" s="5"/>
      <c r="L92" s="5"/>
      <c r="M92" s="5"/>
      <c r="N92" s="5"/>
      <c r="O92" s="5"/>
    </row>
    <row r="93" spans="1:23" ht="19.5" customHeight="1">
      <c r="A93" s="29" t="s">
        <v>154</v>
      </c>
      <c r="B93" s="70" t="s">
        <v>155</v>
      </c>
      <c r="C93" s="36">
        <f>+D93/12</f>
        <v>150000</v>
      </c>
      <c r="D93" s="36">
        <v>1800000</v>
      </c>
      <c r="E93" s="106">
        <f>+F93/12</f>
        <v>150000</v>
      </c>
      <c r="F93" s="106">
        <v>1800000</v>
      </c>
      <c r="G93" s="95">
        <f>+F93-D93</f>
        <v>0</v>
      </c>
      <c r="H93" s="98"/>
      <c r="I93" s="153"/>
      <c r="J93" s="5"/>
      <c r="K93" s="5"/>
      <c r="L93" s="5"/>
      <c r="M93" s="5"/>
      <c r="N93" s="5"/>
      <c r="O93" s="5"/>
    </row>
    <row r="94" spans="1:23" ht="19.5" customHeight="1">
      <c r="A94" s="29" t="s">
        <v>156</v>
      </c>
      <c r="B94" s="70" t="s">
        <v>157</v>
      </c>
      <c r="C94" s="36">
        <f>+D94/12</f>
        <v>54166.666666666664</v>
      </c>
      <c r="D94" s="36">
        <v>650000</v>
      </c>
      <c r="E94" s="106">
        <f>+F94/12</f>
        <v>27083.333333333332</v>
      </c>
      <c r="F94" s="106">
        <v>325000</v>
      </c>
      <c r="G94" s="95">
        <f>+F94-D94</f>
        <v>-325000</v>
      </c>
      <c r="H94" s="98"/>
      <c r="I94" s="164" t="s">
        <v>158</v>
      </c>
      <c r="J94" s="5"/>
      <c r="K94" s="5"/>
      <c r="L94" s="5"/>
      <c r="M94" s="5"/>
      <c r="N94" s="5"/>
      <c r="O94" s="5"/>
    </row>
    <row r="95" spans="1:23" ht="19.5" customHeight="1">
      <c r="A95" s="37"/>
      <c r="B95" s="60"/>
      <c r="C95" s="122"/>
      <c r="D95" s="69"/>
      <c r="E95" s="69"/>
      <c r="F95" s="69"/>
      <c r="G95" s="69"/>
      <c r="H95" s="53"/>
      <c r="I95" s="156"/>
      <c r="J95" s="5"/>
      <c r="K95" s="5"/>
      <c r="L95" s="5"/>
      <c r="M95" s="5"/>
      <c r="N95" s="5"/>
      <c r="O95" s="5"/>
    </row>
    <row r="96" spans="1:23" ht="19.5" customHeight="1">
      <c r="A96" s="48">
        <v>9</v>
      </c>
      <c r="B96" s="49" t="s">
        <v>159</v>
      </c>
      <c r="C96" s="115" t="s">
        <v>0</v>
      </c>
      <c r="D96" s="42" t="s">
        <v>0</v>
      </c>
      <c r="E96" s="166">
        <f>SUM(E98:E99)</f>
        <v>79166.666666666672</v>
      </c>
      <c r="F96" s="166">
        <f>SUM(F98:F99)</f>
        <v>950000</v>
      </c>
      <c r="G96" s="42"/>
      <c r="H96" s="98"/>
      <c r="I96" s="153"/>
      <c r="J96" s="5"/>
      <c r="K96" s="50"/>
      <c r="L96" s="50"/>
      <c r="M96" s="50"/>
      <c r="P96" s="47"/>
      <c r="R96" s="5"/>
      <c r="S96" s="5"/>
      <c r="V96" s="4"/>
      <c r="W96" s="4"/>
    </row>
    <row r="97" spans="1:23" ht="19.5" customHeight="1">
      <c r="A97" s="37"/>
      <c r="B97" s="60"/>
      <c r="C97" s="122"/>
      <c r="D97" s="69"/>
      <c r="E97" s="69"/>
      <c r="F97" s="69"/>
      <c r="G97" s="69"/>
      <c r="H97" s="53"/>
      <c r="I97" s="156"/>
      <c r="J97" s="5"/>
      <c r="K97" s="5"/>
      <c r="L97" s="5"/>
      <c r="M97" s="5"/>
      <c r="N97" s="5"/>
      <c r="O97" s="5"/>
    </row>
    <row r="98" spans="1:23" ht="19.5" customHeight="1">
      <c r="A98" s="29" t="s">
        <v>160</v>
      </c>
      <c r="B98" s="57" t="s">
        <v>161</v>
      </c>
      <c r="C98" s="36">
        <f>+D98/12</f>
        <v>45833.333333333336</v>
      </c>
      <c r="D98" s="36">
        <v>550000</v>
      </c>
      <c r="E98" s="106">
        <f>+F98/12</f>
        <v>45833.333333333336</v>
      </c>
      <c r="F98" s="106">
        <v>550000</v>
      </c>
      <c r="G98" s="95">
        <f>+F98-D98</f>
        <v>0</v>
      </c>
      <c r="H98" s="98"/>
      <c r="I98" s="153"/>
      <c r="J98" s="5"/>
      <c r="K98" s="5"/>
      <c r="L98" s="5"/>
      <c r="M98" s="5"/>
      <c r="N98" s="5"/>
      <c r="O98" s="5"/>
    </row>
    <row r="99" spans="1:23" ht="19.5" customHeight="1">
      <c r="A99" s="29" t="s">
        <v>162</v>
      </c>
      <c r="B99" s="57" t="s">
        <v>163</v>
      </c>
      <c r="C99" s="36">
        <f>+D99/12</f>
        <v>33333.333333333336</v>
      </c>
      <c r="D99" s="36">
        <v>400000</v>
      </c>
      <c r="E99" s="106">
        <f>+F99/12</f>
        <v>33333.333333333336</v>
      </c>
      <c r="F99" s="106">
        <v>400000</v>
      </c>
      <c r="G99" s="95">
        <f>+F99-D99</f>
        <v>0</v>
      </c>
      <c r="H99" s="98"/>
      <c r="I99" s="164" t="s">
        <v>164</v>
      </c>
      <c r="J99" s="5"/>
      <c r="K99" s="5"/>
      <c r="L99" s="5"/>
      <c r="M99" s="5"/>
      <c r="N99" s="5"/>
      <c r="O99" s="5"/>
    </row>
    <row r="100" spans="1:23" ht="19.5" customHeight="1">
      <c r="C100" s="123"/>
      <c r="D100" s="124"/>
      <c r="E100" s="124"/>
      <c r="F100" s="124"/>
      <c r="G100" s="124"/>
      <c r="H100" s="129"/>
      <c r="I100" s="159"/>
      <c r="J100" s="5"/>
      <c r="K100" s="5"/>
      <c r="L100" s="5"/>
      <c r="M100" s="5"/>
      <c r="N100" s="5"/>
      <c r="O100" s="5"/>
    </row>
    <row r="101" spans="1:23" ht="19.5" customHeight="1">
      <c r="A101" s="48">
        <v>10</v>
      </c>
      <c r="B101" s="49" t="s">
        <v>165</v>
      </c>
      <c r="C101" s="115" t="s">
        <v>0</v>
      </c>
      <c r="D101" s="42" t="s">
        <v>0</v>
      </c>
      <c r="E101" s="166">
        <f>SUM(E103:E106)</f>
        <v>144166.66666666669</v>
      </c>
      <c r="F101" s="166">
        <f>SUM(F103:F106)</f>
        <v>1730000</v>
      </c>
      <c r="G101" s="42"/>
      <c r="H101" s="98"/>
      <c r="I101" s="153"/>
      <c r="J101" s="5"/>
      <c r="K101" s="50"/>
      <c r="L101" s="50"/>
      <c r="M101" s="50"/>
      <c r="P101" s="47"/>
      <c r="R101" s="5"/>
      <c r="S101" s="5"/>
      <c r="V101" s="4"/>
      <c r="W101" s="4"/>
    </row>
    <row r="102" spans="1:23" ht="19.5" customHeight="1">
      <c r="A102" s="1" t="s">
        <v>0</v>
      </c>
      <c r="C102" s="123"/>
      <c r="D102" s="124"/>
      <c r="E102" s="124"/>
      <c r="F102" s="124"/>
      <c r="G102" s="124"/>
      <c r="H102" s="129"/>
      <c r="I102" s="159"/>
      <c r="J102" s="5"/>
      <c r="K102" s="5"/>
      <c r="L102" s="5"/>
      <c r="M102" s="5"/>
      <c r="N102" s="5"/>
      <c r="O102" s="5"/>
    </row>
    <row r="103" spans="1:23" ht="19.5" customHeight="1">
      <c r="A103" s="29" t="s">
        <v>166</v>
      </c>
      <c r="B103" s="71" t="s">
        <v>167</v>
      </c>
      <c r="C103" s="36">
        <f>+D103/12</f>
        <v>53333.333333333336</v>
      </c>
      <c r="D103" s="36">
        <v>640000</v>
      </c>
      <c r="E103" s="106">
        <f>+F103/12</f>
        <v>26666.666666666668</v>
      </c>
      <c r="F103" s="106">
        <v>320000</v>
      </c>
      <c r="G103" s="95">
        <f>+F103-D103</f>
        <v>-320000</v>
      </c>
      <c r="H103" s="98"/>
      <c r="I103" s="163" t="s">
        <v>168</v>
      </c>
      <c r="J103" s="5"/>
      <c r="K103" s="5"/>
      <c r="L103" s="5"/>
      <c r="M103" s="5"/>
      <c r="N103" s="5"/>
      <c r="O103" s="5"/>
    </row>
    <row r="104" spans="1:23" ht="19.5" customHeight="1">
      <c r="A104" s="29" t="s">
        <v>169</v>
      </c>
      <c r="B104" s="57" t="s">
        <v>170</v>
      </c>
      <c r="C104" s="36">
        <f>+D104/12</f>
        <v>58333.333333333336</v>
      </c>
      <c r="D104" s="36">
        <v>700000</v>
      </c>
      <c r="E104" s="106">
        <f>+F104/12</f>
        <v>2916.6666666666665</v>
      </c>
      <c r="F104" s="106">
        <v>35000</v>
      </c>
      <c r="G104" s="95">
        <f>+F104-D104</f>
        <v>-665000</v>
      </c>
      <c r="H104" s="98"/>
      <c r="I104" s="163" t="s">
        <v>168</v>
      </c>
      <c r="J104" s="5"/>
      <c r="K104" s="5"/>
      <c r="L104" s="5"/>
      <c r="M104" s="5"/>
      <c r="N104" s="5"/>
      <c r="O104" s="5"/>
    </row>
    <row r="105" spans="1:23" ht="19.5" customHeight="1">
      <c r="A105" s="29" t="s">
        <v>171</v>
      </c>
      <c r="B105" s="57" t="s">
        <v>172</v>
      </c>
      <c r="C105" s="36">
        <f>+D105/12</f>
        <v>100000</v>
      </c>
      <c r="D105" s="36">
        <v>1200000</v>
      </c>
      <c r="E105" s="106">
        <f>+F105/12</f>
        <v>50000</v>
      </c>
      <c r="F105" s="106">
        <v>600000</v>
      </c>
      <c r="G105" s="95">
        <f>+F105-D105</f>
        <v>-600000</v>
      </c>
      <c r="H105" s="98"/>
      <c r="I105" s="163" t="s">
        <v>168</v>
      </c>
      <c r="J105" s="5"/>
      <c r="K105" s="5"/>
      <c r="L105" s="5"/>
      <c r="M105" s="5"/>
      <c r="N105" s="5"/>
      <c r="O105" s="5"/>
    </row>
    <row r="106" spans="1:23" ht="19.5" customHeight="1">
      <c r="A106" s="29" t="s">
        <v>173</v>
      </c>
      <c r="B106" s="57" t="s">
        <v>174</v>
      </c>
      <c r="C106" s="36">
        <f>+D106/12</f>
        <v>129166.66666666667</v>
      </c>
      <c r="D106" s="36">
        <v>1550000</v>
      </c>
      <c r="E106" s="106">
        <f>+F106/12</f>
        <v>64583.333333333336</v>
      </c>
      <c r="F106" s="106">
        <v>775000</v>
      </c>
      <c r="G106" s="95">
        <f>+F106-D106</f>
        <v>-775000</v>
      </c>
      <c r="H106" s="98"/>
      <c r="I106" s="163" t="s">
        <v>168</v>
      </c>
      <c r="J106" s="5"/>
      <c r="K106" s="5"/>
      <c r="L106" s="5"/>
      <c r="M106" s="5"/>
      <c r="N106" s="5"/>
      <c r="O106" s="5"/>
    </row>
    <row r="107" spans="1:23" ht="19.5" customHeight="1">
      <c r="K107" s="63"/>
      <c r="L107" s="64"/>
    </row>
    <row r="108" spans="1:23" ht="19.5" customHeight="1">
      <c r="A108" s="48">
        <v>11</v>
      </c>
      <c r="B108" s="49" t="s">
        <v>175</v>
      </c>
      <c r="C108" s="115"/>
      <c r="D108" s="42"/>
      <c r="G108" s="42"/>
      <c r="H108" s="98"/>
      <c r="I108" s="153"/>
      <c r="J108" s="5"/>
      <c r="K108" s="50"/>
      <c r="L108" s="50"/>
      <c r="M108" s="50"/>
      <c r="P108" s="47"/>
      <c r="R108" s="5"/>
      <c r="S108" s="5"/>
      <c r="V108" s="4"/>
      <c r="W108" s="4"/>
    </row>
    <row r="109" spans="1:23" ht="19.5" customHeight="1">
      <c r="A109" s="48" t="s">
        <v>176</v>
      </c>
      <c r="B109" s="49" t="s">
        <v>177</v>
      </c>
      <c r="C109" s="115" t="s">
        <v>0</v>
      </c>
      <c r="D109" s="42" t="s">
        <v>0</v>
      </c>
      <c r="E109" s="166">
        <f>SUM(E111:E118)</f>
        <v>1495833.3333333333</v>
      </c>
      <c r="F109" s="166">
        <f>SUM(F111:F118)</f>
        <v>17950000</v>
      </c>
      <c r="G109" s="42"/>
      <c r="H109" s="98"/>
      <c r="I109" s="153"/>
      <c r="J109" s="5"/>
      <c r="K109" s="50"/>
      <c r="L109" s="50"/>
      <c r="M109" s="50"/>
      <c r="P109" s="47"/>
      <c r="R109" s="5"/>
      <c r="S109" s="5"/>
      <c r="V109" s="4"/>
      <c r="W109" s="4"/>
    </row>
    <row r="110" spans="1:23" ht="19.5" customHeight="1">
      <c r="C110" s="123"/>
      <c r="D110" s="124"/>
      <c r="E110" s="124"/>
      <c r="F110" s="124"/>
      <c r="G110" s="124"/>
      <c r="H110" s="129"/>
      <c r="I110" s="159"/>
      <c r="K110" s="63" t="s">
        <v>0</v>
      </c>
      <c r="L110" s="64" t="s">
        <v>0</v>
      </c>
    </row>
    <row r="111" spans="1:23" ht="19.5" customHeight="1">
      <c r="A111" s="29" t="s">
        <v>178</v>
      </c>
      <c r="B111" s="57" t="s">
        <v>179</v>
      </c>
      <c r="C111" s="36">
        <f t="shared" ref="C111:C118" si="6">+D111/12</f>
        <v>270833.33333333331</v>
      </c>
      <c r="D111" s="36">
        <v>3250000</v>
      </c>
      <c r="E111" s="106">
        <f t="shared" ref="E111:E118" si="7">+F111/12</f>
        <v>270833.33333333331</v>
      </c>
      <c r="F111" s="106">
        <v>3250000</v>
      </c>
      <c r="G111" s="95">
        <f t="shared" ref="G111:G118" si="8">+F111-D111</f>
        <v>0</v>
      </c>
      <c r="H111" s="98"/>
      <c r="I111" s="153"/>
      <c r="J111" s="30"/>
      <c r="K111" s="72" t="s">
        <v>0</v>
      </c>
    </row>
    <row r="112" spans="1:23" ht="19.5" customHeight="1">
      <c r="A112" s="29" t="s">
        <v>180</v>
      </c>
      <c r="B112" s="46" t="s">
        <v>181</v>
      </c>
      <c r="C112" s="36">
        <f t="shared" si="6"/>
        <v>615000</v>
      </c>
      <c r="D112" s="36">
        <v>7380000</v>
      </c>
      <c r="E112" s="106">
        <f t="shared" si="7"/>
        <v>615000</v>
      </c>
      <c r="F112" s="106">
        <v>7380000</v>
      </c>
      <c r="G112" s="95">
        <f t="shared" si="8"/>
        <v>0</v>
      </c>
      <c r="H112" s="98"/>
      <c r="I112" s="153"/>
      <c r="J112" s="30"/>
      <c r="K112" s="72"/>
    </row>
    <row r="113" spans="1:23" ht="19.5" customHeight="1">
      <c r="A113" s="29" t="s">
        <v>182</v>
      </c>
      <c r="B113" s="57" t="s">
        <v>183</v>
      </c>
      <c r="C113" s="36">
        <f t="shared" si="6"/>
        <v>50000</v>
      </c>
      <c r="D113" s="36">
        <v>600000</v>
      </c>
      <c r="E113" s="106">
        <f t="shared" si="7"/>
        <v>50000</v>
      </c>
      <c r="F113" s="106">
        <v>600000</v>
      </c>
      <c r="G113" s="95">
        <f t="shared" si="8"/>
        <v>0</v>
      </c>
      <c r="H113" s="98"/>
      <c r="I113" s="153"/>
      <c r="J113" s="30"/>
    </row>
    <row r="114" spans="1:23" ht="19.5" customHeight="1">
      <c r="A114" s="29" t="s">
        <v>184</v>
      </c>
      <c r="B114" s="57" t="s">
        <v>185</v>
      </c>
      <c r="C114" s="36">
        <f t="shared" si="6"/>
        <v>40000</v>
      </c>
      <c r="D114" s="36">
        <v>480000</v>
      </c>
      <c r="E114" s="106">
        <f t="shared" si="7"/>
        <v>40000</v>
      </c>
      <c r="F114" s="106">
        <v>480000</v>
      </c>
      <c r="G114" s="95">
        <f t="shared" si="8"/>
        <v>0</v>
      </c>
      <c r="H114" s="98"/>
      <c r="I114" s="153"/>
      <c r="J114" s="30"/>
    </row>
    <row r="115" spans="1:23" ht="19.5" customHeight="1">
      <c r="A115" s="29" t="s">
        <v>186</v>
      </c>
      <c r="B115" s="57" t="s">
        <v>187</v>
      </c>
      <c r="C115" s="36">
        <f t="shared" si="6"/>
        <v>20000</v>
      </c>
      <c r="D115" s="36">
        <v>240000</v>
      </c>
      <c r="E115" s="106">
        <f t="shared" si="7"/>
        <v>20000</v>
      </c>
      <c r="F115" s="106">
        <v>240000</v>
      </c>
      <c r="G115" s="95">
        <f t="shared" si="8"/>
        <v>0</v>
      </c>
      <c r="H115" s="98"/>
      <c r="I115" s="163" t="s">
        <v>188</v>
      </c>
      <c r="J115" s="30"/>
    </row>
    <row r="116" spans="1:23" ht="19.5" customHeight="1">
      <c r="A116" s="29" t="s">
        <v>189</v>
      </c>
      <c r="B116" s="57" t="s">
        <v>190</v>
      </c>
      <c r="C116" s="36">
        <f t="shared" si="6"/>
        <v>12500</v>
      </c>
      <c r="D116" s="36">
        <v>150000</v>
      </c>
      <c r="E116" s="106">
        <f t="shared" si="7"/>
        <v>12500</v>
      </c>
      <c r="F116" s="106">
        <v>150000</v>
      </c>
      <c r="G116" s="95">
        <f t="shared" si="8"/>
        <v>0</v>
      </c>
      <c r="H116" s="98"/>
      <c r="I116" s="153"/>
      <c r="J116" s="30"/>
    </row>
    <row r="117" spans="1:23" ht="19.5" customHeight="1">
      <c r="A117" s="29" t="s">
        <v>191</v>
      </c>
      <c r="B117" s="51" t="s">
        <v>192</v>
      </c>
      <c r="C117" s="36">
        <f t="shared" si="6"/>
        <v>379166.66666666669</v>
      </c>
      <c r="D117" s="36">
        <v>4550000</v>
      </c>
      <c r="E117" s="106">
        <f t="shared" si="7"/>
        <v>379166.66666666669</v>
      </c>
      <c r="F117" s="106">
        <v>4550000</v>
      </c>
      <c r="G117" s="95">
        <f t="shared" si="8"/>
        <v>0</v>
      </c>
      <c r="H117" s="98"/>
      <c r="I117" s="163" t="s">
        <v>193</v>
      </c>
      <c r="J117" s="30"/>
    </row>
    <row r="118" spans="1:23" ht="19.5" customHeight="1">
      <c r="A118" s="29" t="s">
        <v>194</v>
      </c>
      <c r="B118" s="57" t="s">
        <v>195</v>
      </c>
      <c r="C118" s="36">
        <f t="shared" si="6"/>
        <v>108333.33333333333</v>
      </c>
      <c r="D118" s="36">
        <v>1300000</v>
      </c>
      <c r="E118" s="106">
        <f t="shared" si="7"/>
        <v>108333.33333333333</v>
      </c>
      <c r="F118" s="106">
        <v>1300000</v>
      </c>
      <c r="G118" s="95">
        <f t="shared" si="8"/>
        <v>0</v>
      </c>
      <c r="H118" s="98"/>
      <c r="I118" s="153"/>
      <c r="J118" s="30">
        <f>+C118/4.33</f>
        <v>25019.245573518088</v>
      </c>
    </row>
    <row r="119" spans="1:23" ht="19.5" customHeight="1">
      <c r="K119" s="63"/>
      <c r="L119" s="64"/>
    </row>
    <row r="120" spans="1:23" ht="19.5" customHeight="1">
      <c r="A120" s="48">
        <v>12</v>
      </c>
      <c r="B120" s="49" t="s">
        <v>196</v>
      </c>
      <c r="C120" s="115" t="s">
        <v>0</v>
      </c>
      <c r="D120" s="42" t="s">
        <v>0</v>
      </c>
      <c r="E120" s="166">
        <f>SUM(E122:E126)</f>
        <v>218833.33333333334</v>
      </c>
      <c r="F120" s="166">
        <f>SUM(F122:F126)</f>
        <v>2626000</v>
      </c>
      <c r="G120" s="42"/>
      <c r="H120" s="98"/>
      <c r="I120" s="153"/>
      <c r="J120" s="5"/>
      <c r="K120" s="50"/>
      <c r="L120" s="50"/>
      <c r="M120" s="50"/>
      <c r="P120" s="47"/>
      <c r="R120" s="5"/>
      <c r="S120" s="5"/>
      <c r="V120" s="4"/>
      <c r="W120" s="4"/>
    </row>
    <row r="121" spans="1:23" ht="19.5" customHeight="1">
      <c r="K121" s="63"/>
      <c r="L121" s="64"/>
    </row>
    <row r="122" spans="1:23" ht="19.5" customHeight="1">
      <c r="A122" s="29" t="s">
        <v>197</v>
      </c>
      <c r="B122" s="57" t="s">
        <v>198</v>
      </c>
      <c r="C122" s="36">
        <f>+D122/12</f>
        <v>95000</v>
      </c>
      <c r="D122" s="36">
        <v>1140000</v>
      </c>
      <c r="E122" s="106">
        <f>+F122/12</f>
        <v>95000</v>
      </c>
      <c r="F122" s="106">
        <v>1140000</v>
      </c>
      <c r="G122" s="95">
        <f>+F122-D122</f>
        <v>0</v>
      </c>
      <c r="H122" s="98"/>
      <c r="I122" s="163" t="s">
        <v>199</v>
      </c>
      <c r="J122" s="30"/>
    </row>
    <row r="123" spans="1:23" ht="19.5" customHeight="1">
      <c r="A123" s="29" t="s">
        <v>200</v>
      </c>
      <c r="B123" s="51" t="s">
        <v>201</v>
      </c>
      <c r="C123" s="36">
        <f>+D123/12</f>
        <v>100000</v>
      </c>
      <c r="D123" s="36">
        <v>1200000</v>
      </c>
      <c r="E123" s="106">
        <f>+F123/12</f>
        <v>40000</v>
      </c>
      <c r="F123" s="106">
        <v>480000</v>
      </c>
      <c r="G123" s="95">
        <f>+F123-D123</f>
        <v>-720000</v>
      </c>
      <c r="H123" s="98"/>
      <c r="I123" s="163" t="s">
        <v>202</v>
      </c>
      <c r="J123" s="30"/>
    </row>
    <row r="124" spans="1:23" ht="19.5" customHeight="1">
      <c r="A124" s="29" t="s">
        <v>203</v>
      </c>
      <c r="B124" s="57" t="s">
        <v>204</v>
      </c>
      <c r="C124" s="36">
        <f>+D124/12</f>
        <v>3333.3333333333335</v>
      </c>
      <c r="D124" s="36">
        <v>40000</v>
      </c>
      <c r="E124" s="106">
        <f>+F124/12</f>
        <v>3333.3333333333335</v>
      </c>
      <c r="F124" s="106">
        <v>40000</v>
      </c>
      <c r="G124" s="95">
        <f>+F124-D124</f>
        <v>0</v>
      </c>
      <c r="H124" s="98"/>
      <c r="I124" s="153"/>
      <c r="J124" s="30"/>
    </row>
    <row r="125" spans="1:23" ht="19.5" customHeight="1">
      <c r="A125" s="29" t="s">
        <v>205</v>
      </c>
      <c r="B125" s="57" t="s">
        <v>206</v>
      </c>
      <c r="C125" s="36">
        <f>+D125/12</f>
        <v>62500</v>
      </c>
      <c r="D125" s="36">
        <v>750000</v>
      </c>
      <c r="E125" s="106">
        <f>+F125/12</f>
        <v>62500</v>
      </c>
      <c r="F125" s="106">
        <v>750000</v>
      </c>
      <c r="G125" s="95">
        <f>+F125-D125</f>
        <v>0</v>
      </c>
      <c r="H125" s="98"/>
      <c r="I125" s="153"/>
      <c r="J125" s="30"/>
    </row>
    <row r="126" spans="1:23" ht="19.5" customHeight="1">
      <c r="A126" s="29" t="s">
        <v>207</v>
      </c>
      <c r="B126" s="57" t="s">
        <v>208</v>
      </c>
      <c r="C126" s="36">
        <f>+D126/12</f>
        <v>18000</v>
      </c>
      <c r="D126" s="36">
        <v>216000</v>
      </c>
      <c r="E126" s="106">
        <f>+F126/12</f>
        <v>18000</v>
      </c>
      <c r="F126" s="106">
        <v>216000</v>
      </c>
      <c r="G126" s="95">
        <f>+F126-D126</f>
        <v>0</v>
      </c>
      <c r="H126" s="98"/>
      <c r="I126" s="153"/>
      <c r="J126" s="30"/>
    </row>
    <row r="127" spans="1:23" ht="19.5" customHeight="1">
      <c r="D127" s="3" t="s">
        <v>0</v>
      </c>
      <c r="F127" s="3" t="s">
        <v>0</v>
      </c>
      <c r="K127" s="63"/>
      <c r="L127" s="64"/>
    </row>
    <row r="128" spans="1:23" ht="19.5" customHeight="1">
      <c r="A128" s="48">
        <v>13</v>
      </c>
      <c r="B128" s="49" t="s">
        <v>209</v>
      </c>
      <c r="C128" s="115" t="s">
        <v>0</v>
      </c>
      <c r="D128" s="42" t="s">
        <v>0</v>
      </c>
      <c r="E128" s="166">
        <f>SUM(E130:E131)</f>
        <v>35000</v>
      </c>
      <c r="F128" s="166">
        <f>SUM(F130:F131)</f>
        <v>420000</v>
      </c>
      <c r="G128" s="42"/>
      <c r="H128" s="98"/>
      <c r="I128" s="153"/>
      <c r="J128" s="5"/>
      <c r="K128" s="50"/>
      <c r="L128" s="50"/>
      <c r="M128" s="50"/>
      <c r="P128" s="47"/>
      <c r="R128" s="5"/>
      <c r="S128" s="5"/>
      <c r="V128" s="4"/>
      <c r="W128" s="4"/>
    </row>
    <row r="129" spans="1:23" ht="19.5" customHeight="1">
      <c r="K129" s="63"/>
      <c r="L129" s="64"/>
    </row>
    <row r="130" spans="1:23" ht="19.5" customHeight="1">
      <c r="A130" s="29" t="s">
        <v>210</v>
      </c>
      <c r="B130" s="57" t="s">
        <v>211</v>
      </c>
      <c r="C130" s="36">
        <f>+D130/12</f>
        <v>35000</v>
      </c>
      <c r="D130" s="36">
        <v>420000</v>
      </c>
      <c r="E130" s="106">
        <f>+F130/12</f>
        <v>35000</v>
      </c>
      <c r="F130" s="106">
        <v>420000</v>
      </c>
      <c r="G130" s="95">
        <f>+F130-D130</f>
        <v>0</v>
      </c>
      <c r="H130" s="98"/>
      <c r="I130" s="153"/>
      <c r="J130" s="30"/>
    </row>
    <row r="131" spans="1:23" ht="19.5" customHeight="1">
      <c r="A131" s="29" t="s">
        <v>212</v>
      </c>
      <c r="B131" s="57" t="s">
        <v>213</v>
      </c>
      <c r="C131" s="99">
        <f>+D131/12</f>
        <v>12000</v>
      </c>
      <c r="D131" s="100">
        <v>144000</v>
      </c>
      <c r="E131" s="107">
        <v>0</v>
      </c>
      <c r="F131" s="108">
        <v>0</v>
      </c>
      <c r="G131" s="95">
        <f>+F131-D131</f>
        <v>-144000</v>
      </c>
      <c r="H131" s="98"/>
      <c r="I131" s="153"/>
      <c r="J131" s="30"/>
    </row>
    <row r="132" spans="1:23" ht="19.5" customHeight="1">
      <c r="D132" s="3" t="s">
        <v>0</v>
      </c>
      <c r="F132" s="3" t="s">
        <v>0</v>
      </c>
      <c r="K132" s="63"/>
      <c r="L132" s="64"/>
    </row>
    <row r="133" spans="1:23" ht="19.5" customHeight="1">
      <c r="A133" s="48">
        <v>14</v>
      </c>
      <c r="B133" s="49" t="s">
        <v>214</v>
      </c>
      <c r="C133" s="115" t="s">
        <v>0</v>
      </c>
      <c r="D133" s="42" t="s">
        <v>0</v>
      </c>
      <c r="E133" s="166">
        <f>SUM(E135:E138)</f>
        <v>114583.33333333333</v>
      </c>
      <c r="F133" s="166">
        <f>SUM(F135:F138)</f>
        <v>1375000</v>
      </c>
      <c r="G133" s="42"/>
      <c r="H133" s="98"/>
      <c r="I133" s="153"/>
      <c r="J133" s="5"/>
      <c r="K133" s="50"/>
      <c r="L133" s="50"/>
      <c r="M133" s="50"/>
      <c r="P133" s="47"/>
      <c r="R133" s="5"/>
      <c r="S133" s="5"/>
      <c r="V133" s="4"/>
      <c r="W133" s="4"/>
    </row>
    <row r="134" spans="1:23" ht="19.5" customHeight="1">
      <c r="K134" s="63"/>
      <c r="L134" s="64"/>
    </row>
    <row r="135" spans="1:23" ht="19.5" customHeight="1">
      <c r="A135" s="29" t="s">
        <v>215</v>
      </c>
      <c r="B135" s="46" t="s">
        <v>216</v>
      </c>
      <c r="C135" s="36">
        <f>+D135/12</f>
        <v>10416.666666666666</v>
      </c>
      <c r="D135" s="36">
        <v>125000</v>
      </c>
      <c r="E135" s="106">
        <f>+F135/12</f>
        <v>10416.666666666666</v>
      </c>
      <c r="F135" s="106">
        <v>125000</v>
      </c>
      <c r="G135" s="95">
        <f>+F135-D135</f>
        <v>0</v>
      </c>
      <c r="H135" s="116"/>
      <c r="I135" s="164" t="s">
        <v>217</v>
      </c>
    </row>
    <row r="136" spans="1:23" ht="19.5" customHeight="1">
      <c r="A136" s="29" t="s">
        <v>218</v>
      </c>
      <c r="B136" s="57" t="s">
        <v>219</v>
      </c>
      <c r="C136" s="36">
        <f>+D136/12</f>
        <v>50000</v>
      </c>
      <c r="D136" s="36">
        <v>600000</v>
      </c>
      <c r="E136" s="106">
        <f>+F136/12</f>
        <v>50000</v>
      </c>
      <c r="F136" s="106">
        <v>600000</v>
      </c>
      <c r="G136" s="95">
        <f>+F136-D136</f>
        <v>0</v>
      </c>
      <c r="H136" s="116"/>
      <c r="I136" s="163" t="s">
        <v>220</v>
      </c>
    </row>
    <row r="137" spans="1:23" ht="19.5" customHeight="1">
      <c r="A137" s="29" t="s">
        <v>221</v>
      </c>
      <c r="B137" s="73" t="s">
        <v>222</v>
      </c>
      <c r="C137" s="36">
        <f>+D137/12</f>
        <v>33333.333333333336</v>
      </c>
      <c r="D137" s="36">
        <v>400000</v>
      </c>
      <c r="E137" s="106">
        <f>+F137/12</f>
        <v>33333.333333333336</v>
      </c>
      <c r="F137" s="106">
        <v>400000</v>
      </c>
      <c r="G137" s="95">
        <f>+F137-D137</f>
        <v>0</v>
      </c>
      <c r="H137" s="116"/>
      <c r="I137" s="163" t="s">
        <v>220</v>
      </c>
    </row>
    <row r="138" spans="1:23" ht="19.5" customHeight="1">
      <c r="A138" s="74" t="s">
        <v>223</v>
      </c>
      <c r="B138" s="57" t="s">
        <v>224</v>
      </c>
      <c r="C138" s="36">
        <f>+D138/12</f>
        <v>20833.333333333332</v>
      </c>
      <c r="D138" s="36">
        <v>250000</v>
      </c>
      <c r="E138" s="106">
        <f>+F138/12</f>
        <v>20833.333333333332</v>
      </c>
      <c r="F138" s="106">
        <v>250000</v>
      </c>
      <c r="G138" s="95">
        <f>+F138-D138</f>
        <v>0</v>
      </c>
      <c r="H138" s="116"/>
      <c r="I138" s="163" t="s">
        <v>220</v>
      </c>
    </row>
    <row r="139" spans="1:23" ht="19.5" customHeight="1">
      <c r="K139" s="63"/>
      <c r="L139" s="64"/>
    </row>
    <row r="140" spans="1:23" ht="19.5" customHeight="1">
      <c r="A140" s="48">
        <v>15</v>
      </c>
      <c r="B140" s="49" t="s">
        <v>225</v>
      </c>
      <c r="C140" s="115" t="s">
        <v>0</v>
      </c>
      <c r="D140" s="42" t="s">
        <v>0</v>
      </c>
      <c r="E140" s="166">
        <f>SUM(E142:E146)</f>
        <v>255416.66666666666</v>
      </c>
      <c r="F140" s="166">
        <f>SUM(F142:F146)</f>
        <v>3065000</v>
      </c>
      <c r="G140" s="42"/>
      <c r="H140" s="98"/>
      <c r="I140" s="153"/>
      <c r="J140" s="5"/>
      <c r="K140" s="50"/>
      <c r="L140" s="50"/>
      <c r="M140" s="50"/>
      <c r="P140" s="47"/>
      <c r="R140" s="5"/>
      <c r="S140" s="5"/>
      <c r="V140" s="4"/>
      <c r="W140" s="4"/>
    </row>
    <row r="141" spans="1:23" ht="19.5" customHeight="1">
      <c r="K141" s="63"/>
      <c r="L141" s="64"/>
    </row>
    <row r="142" spans="1:23" ht="19.5" customHeight="1">
      <c r="A142" s="29" t="s">
        <v>226</v>
      </c>
      <c r="B142" s="57" t="s">
        <v>227</v>
      </c>
      <c r="C142" s="36">
        <f>+D142/12</f>
        <v>125000</v>
      </c>
      <c r="D142" s="36">
        <v>1500000</v>
      </c>
      <c r="E142" s="106">
        <f>+F142/12</f>
        <v>125000</v>
      </c>
      <c r="F142" s="106">
        <v>1500000</v>
      </c>
      <c r="G142" s="95">
        <f>+F142-D142</f>
        <v>0</v>
      </c>
      <c r="H142" s="116"/>
      <c r="I142" s="163" t="s">
        <v>228</v>
      </c>
      <c r="J142" s="75" t="s">
        <v>229</v>
      </c>
      <c r="K142" s="4" t="s">
        <v>0</v>
      </c>
    </row>
    <row r="143" spans="1:23" ht="19.5" customHeight="1">
      <c r="A143" s="29" t="s">
        <v>230</v>
      </c>
      <c r="B143" s="57" t="s">
        <v>231</v>
      </c>
      <c r="C143" s="36">
        <f>+D143/12</f>
        <v>6250</v>
      </c>
      <c r="D143" s="36">
        <v>75000</v>
      </c>
      <c r="E143" s="106">
        <f>+F143/12</f>
        <v>6250</v>
      </c>
      <c r="F143" s="106">
        <v>75000</v>
      </c>
      <c r="G143" s="95">
        <f>+F143-D143</f>
        <v>0</v>
      </c>
      <c r="H143" s="98"/>
      <c r="I143" s="153"/>
      <c r="J143" s="30"/>
    </row>
    <row r="144" spans="1:23" ht="19.5" customHeight="1">
      <c r="A144" s="29" t="s">
        <v>232</v>
      </c>
      <c r="B144" s="57" t="s">
        <v>233</v>
      </c>
      <c r="C144" s="36">
        <f>+D144/12</f>
        <v>65000</v>
      </c>
      <c r="D144" s="36">
        <v>780000</v>
      </c>
      <c r="E144" s="106">
        <f>+F144/12</f>
        <v>65000</v>
      </c>
      <c r="F144" s="106">
        <v>780000</v>
      </c>
      <c r="G144" s="95">
        <f>+F144-D144</f>
        <v>0</v>
      </c>
      <c r="H144" s="98"/>
      <c r="I144" s="163" t="s">
        <v>234</v>
      </c>
      <c r="J144" s="30"/>
    </row>
    <row r="145" spans="1:25" ht="19.5" customHeight="1">
      <c r="A145" s="29" t="s">
        <v>235</v>
      </c>
      <c r="B145" s="57" t="s">
        <v>236</v>
      </c>
      <c r="C145" s="36">
        <f>+D145/12</f>
        <v>60000</v>
      </c>
      <c r="D145" s="36">
        <v>720000</v>
      </c>
      <c r="E145" s="106">
        <f>+F145/12</f>
        <v>25000</v>
      </c>
      <c r="F145" s="106">
        <f>25000*12</f>
        <v>300000</v>
      </c>
      <c r="G145" s="95">
        <f>+F145-D145</f>
        <v>-420000</v>
      </c>
      <c r="H145" s="98"/>
      <c r="I145" s="163" t="s">
        <v>237</v>
      </c>
      <c r="J145" s="30"/>
    </row>
    <row r="146" spans="1:25" ht="19.5" customHeight="1">
      <c r="A146" s="29" t="s">
        <v>238</v>
      </c>
      <c r="B146" s="57" t="s">
        <v>239</v>
      </c>
      <c r="C146" s="36">
        <f>+D146/12</f>
        <v>34166.666666666664</v>
      </c>
      <c r="D146" s="36">
        <v>410000</v>
      </c>
      <c r="E146" s="106">
        <f>+F146/12</f>
        <v>34166.666666666664</v>
      </c>
      <c r="F146" s="106">
        <v>410000</v>
      </c>
      <c r="G146" s="95">
        <f>+F146-D146</f>
        <v>0</v>
      </c>
      <c r="H146" s="98"/>
      <c r="I146" s="153"/>
      <c r="J146" s="30"/>
    </row>
    <row r="147" spans="1:25" ht="19.5" customHeight="1">
      <c r="A147" s="37"/>
      <c r="B147" s="43"/>
      <c r="C147" s="114"/>
      <c r="D147" s="114" t="s">
        <v>0</v>
      </c>
      <c r="E147" s="114"/>
      <c r="F147" s="114" t="s">
        <v>0</v>
      </c>
      <c r="G147" s="114"/>
      <c r="H147" s="98"/>
      <c r="I147" s="153"/>
      <c r="J147" s="30"/>
    </row>
    <row r="148" spans="1:25" ht="19.5" customHeight="1">
      <c r="A148" s="48">
        <v>16</v>
      </c>
      <c r="B148" s="49" t="s">
        <v>240</v>
      </c>
      <c r="C148" s="115" t="s">
        <v>0</v>
      </c>
      <c r="D148" s="42" t="s">
        <v>0</v>
      </c>
      <c r="E148" s="166">
        <f>+E150</f>
        <v>8000</v>
      </c>
      <c r="F148" s="166">
        <f>+F150</f>
        <v>96000</v>
      </c>
      <c r="G148" s="42"/>
      <c r="H148" s="98"/>
      <c r="I148" s="153"/>
      <c r="J148" s="5"/>
      <c r="K148" s="50"/>
      <c r="L148" s="50"/>
      <c r="M148" s="50"/>
      <c r="P148" s="47"/>
      <c r="R148" s="5"/>
      <c r="S148" s="5"/>
      <c r="V148" s="4"/>
      <c r="W148" s="4"/>
    </row>
    <row r="149" spans="1:25" ht="19.5" customHeight="1">
      <c r="A149" s="37"/>
      <c r="B149" s="43"/>
      <c r="C149" s="114"/>
      <c r="D149" s="114"/>
      <c r="E149" s="114"/>
      <c r="F149" s="114"/>
      <c r="G149" s="114"/>
      <c r="H149" s="98"/>
      <c r="I149" s="153"/>
      <c r="J149" s="30"/>
    </row>
    <row r="150" spans="1:25" ht="19.5" customHeight="1">
      <c r="A150" s="54" t="s">
        <v>241</v>
      </c>
      <c r="B150" s="51" t="s">
        <v>242</v>
      </c>
      <c r="C150" s="36">
        <v>150000</v>
      </c>
      <c r="D150" s="36">
        <v>1800000</v>
      </c>
      <c r="E150" s="106">
        <f>+F150/12</f>
        <v>8000</v>
      </c>
      <c r="F150" s="106">
        <f>8000*12</f>
        <v>96000</v>
      </c>
      <c r="G150" s="95">
        <f>+F150-D150</f>
        <v>-1704000</v>
      </c>
      <c r="H150" s="98"/>
      <c r="I150" s="153"/>
      <c r="J150" s="30"/>
    </row>
    <row r="151" spans="1:25" ht="19.5" customHeight="1">
      <c r="A151" s="37"/>
      <c r="B151" s="43"/>
      <c r="C151" s="114"/>
      <c r="D151" s="114"/>
      <c r="E151" s="114"/>
      <c r="F151" s="114"/>
      <c r="G151" s="114"/>
      <c r="H151" s="98"/>
      <c r="I151" s="153"/>
      <c r="J151" s="30"/>
    </row>
    <row r="152" spans="1:25" ht="19.5" customHeight="1">
      <c r="A152" s="48">
        <v>17</v>
      </c>
      <c r="B152" s="49" t="s">
        <v>243</v>
      </c>
      <c r="C152" s="115" t="s">
        <v>0</v>
      </c>
      <c r="D152" s="42" t="s">
        <v>0</v>
      </c>
      <c r="E152" s="114" t="s">
        <v>0</v>
      </c>
      <c r="F152" s="114" t="s">
        <v>0</v>
      </c>
      <c r="G152" s="42"/>
      <c r="H152" s="98"/>
      <c r="I152" s="153"/>
      <c r="J152" s="5"/>
      <c r="K152" s="50"/>
      <c r="L152" s="50"/>
      <c r="M152" s="50"/>
      <c r="P152" s="47"/>
      <c r="R152" s="5"/>
      <c r="S152" s="5"/>
      <c r="V152" s="4"/>
      <c r="W152" s="4"/>
    </row>
    <row r="153" spans="1:25" ht="19.5" customHeight="1">
      <c r="A153" s="48" t="s">
        <v>244</v>
      </c>
      <c r="B153" s="49" t="s">
        <v>245</v>
      </c>
      <c r="C153" s="115"/>
      <c r="D153" s="42"/>
      <c r="E153" s="166">
        <f>SUM(E155:E157)</f>
        <v>114166.66666666666</v>
      </c>
      <c r="F153" s="166">
        <f>SUM(F155:F157)</f>
        <v>1370000</v>
      </c>
      <c r="G153" s="42"/>
      <c r="H153" s="98"/>
      <c r="I153" s="153"/>
      <c r="J153" s="5"/>
      <c r="K153" s="50"/>
      <c r="L153" s="50"/>
      <c r="M153" s="50"/>
      <c r="P153" s="47"/>
      <c r="R153" s="5"/>
      <c r="S153" s="5"/>
      <c r="V153" s="4"/>
      <c r="W153" s="4"/>
    </row>
    <row r="154" spans="1:25" ht="19.5" customHeight="1">
      <c r="A154" s="37"/>
      <c r="B154" s="43"/>
      <c r="C154" s="42"/>
      <c r="D154" s="42"/>
      <c r="E154" s="42"/>
      <c r="F154" s="42"/>
      <c r="G154" s="42"/>
      <c r="H154" s="98"/>
      <c r="I154" s="153"/>
      <c r="J154" s="30"/>
    </row>
    <row r="155" spans="1:25" ht="19.5" customHeight="1">
      <c r="A155" s="29" t="s">
        <v>246</v>
      </c>
      <c r="B155" s="57" t="s">
        <v>247</v>
      </c>
      <c r="C155" s="36">
        <f>+D155/12</f>
        <v>90000</v>
      </c>
      <c r="D155" s="36">
        <v>1080000</v>
      </c>
      <c r="E155" s="106">
        <f>+F155/12</f>
        <v>67500</v>
      </c>
      <c r="F155" s="106">
        <v>810000</v>
      </c>
      <c r="G155" s="95">
        <f>+F155-D155</f>
        <v>-270000</v>
      </c>
      <c r="H155" s="98">
        <f>1080000*0.75</f>
        <v>810000</v>
      </c>
      <c r="I155" s="164" t="s">
        <v>248</v>
      </c>
      <c r="J155" s="30"/>
    </row>
    <row r="156" spans="1:25" ht="19.5" customHeight="1">
      <c r="A156" s="29" t="s">
        <v>249</v>
      </c>
      <c r="B156" s="57" t="s">
        <v>250</v>
      </c>
      <c r="C156" s="36">
        <f>+D156/12</f>
        <v>13333.333333333334</v>
      </c>
      <c r="D156" s="36">
        <v>160000</v>
      </c>
      <c r="E156" s="106">
        <f>+F156/12</f>
        <v>13333.333333333334</v>
      </c>
      <c r="F156" s="106">
        <v>160000</v>
      </c>
      <c r="G156" s="95">
        <f>+F156-D156</f>
        <v>0</v>
      </c>
      <c r="H156" s="98"/>
      <c r="I156" s="153"/>
      <c r="J156" s="30"/>
    </row>
    <row r="157" spans="1:25" s="77" customFormat="1" ht="19.5" customHeight="1">
      <c r="A157" s="29" t="s">
        <v>251</v>
      </c>
      <c r="B157" s="57" t="s">
        <v>252</v>
      </c>
      <c r="C157" s="36">
        <f>+D157/12</f>
        <v>33333.333333333336</v>
      </c>
      <c r="D157" s="36">
        <v>400000</v>
      </c>
      <c r="E157" s="106">
        <f>+F157/12</f>
        <v>33333.333333333336</v>
      </c>
      <c r="F157" s="106">
        <v>400000</v>
      </c>
      <c r="G157" s="95">
        <f>+F157-D157</f>
        <v>0</v>
      </c>
      <c r="H157" s="98"/>
      <c r="I157" s="153"/>
      <c r="J157" s="38"/>
      <c r="K157" s="76"/>
      <c r="L157" s="76"/>
      <c r="M157" s="76"/>
      <c r="N157" s="76"/>
      <c r="O157" s="76"/>
      <c r="P157" s="76"/>
      <c r="Q157" s="76"/>
      <c r="R157" s="76"/>
      <c r="S157" s="76"/>
      <c r="Y157" s="78"/>
    </row>
    <row r="158" spans="1:25" ht="19.5" customHeight="1">
      <c r="A158" s="37"/>
      <c r="B158" s="43"/>
      <c r="C158" s="114"/>
      <c r="D158" s="114"/>
      <c r="E158" s="114"/>
      <c r="F158" s="114"/>
      <c r="G158" s="114"/>
      <c r="H158" s="98"/>
      <c r="I158" s="153"/>
      <c r="J158" s="30"/>
    </row>
    <row r="159" spans="1:25" ht="19.5" customHeight="1">
      <c r="A159" s="48">
        <v>18</v>
      </c>
      <c r="B159" s="49" t="s">
        <v>253</v>
      </c>
      <c r="C159" s="115" t="s">
        <v>0</v>
      </c>
      <c r="D159" s="42" t="s">
        <v>0</v>
      </c>
      <c r="E159" s="166">
        <f>+E161</f>
        <v>65000</v>
      </c>
      <c r="F159" s="166">
        <f>+F161</f>
        <v>780000</v>
      </c>
      <c r="G159" s="42"/>
      <c r="H159" s="98"/>
      <c r="I159" s="153"/>
      <c r="J159" s="5"/>
      <c r="K159" s="50"/>
      <c r="L159" s="50"/>
      <c r="M159" s="50"/>
      <c r="P159" s="47"/>
      <c r="R159" s="5"/>
      <c r="S159" s="5"/>
      <c r="V159" s="4"/>
      <c r="W159" s="4"/>
    </row>
    <row r="160" spans="1:25" ht="19.5" customHeight="1">
      <c r="A160" s="37"/>
      <c r="B160" s="43"/>
      <c r="C160" s="114"/>
      <c r="D160" s="114"/>
      <c r="E160" s="114"/>
      <c r="F160" s="114"/>
      <c r="G160" s="114"/>
      <c r="H160" s="98"/>
      <c r="I160" s="153"/>
      <c r="J160" s="30"/>
    </row>
    <row r="161" spans="1:25" s="77" customFormat="1" ht="19.5" customHeight="1">
      <c r="A161" s="29" t="s">
        <v>254</v>
      </c>
      <c r="B161" s="57" t="s">
        <v>255</v>
      </c>
      <c r="C161" s="36">
        <f>+D161/12</f>
        <v>65000</v>
      </c>
      <c r="D161" s="36">
        <v>780000</v>
      </c>
      <c r="E161" s="106">
        <f>+F161/12</f>
        <v>65000</v>
      </c>
      <c r="F161" s="106">
        <v>780000</v>
      </c>
      <c r="G161" s="95">
        <f>+F161-D161</f>
        <v>0</v>
      </c>
      <c r="H161" s="98"/>
      <c r="I161" s="164" t="s">
        <v>248</v>
      </c>
      <c r="J161" s="38"/>
      <c r="K161" s="76"/>
      <c r="L161" s="76"/>
      <c r="M161" s="76"/>
      <c r="N161" s="76"/>
      <c r="O161" s="76"/>
      <c r="P161" s="76"/>
      <c r="Q161" s="76"/>
      <c r="R161" s="76"/>
      <c r="S161" s="76"/>
      <c r="Y161" s="78"/>
    </row>
    <row r="162" spans="1:25" s="77" customFormat="1" ht="19.5" customHeight="1">
      <c r="A162" s="37"/>
      <c r="B162" s="79"/>
      <c r="C162" s="19"/>
      <c r="D162" s="19"/>
      <c r="E162" s="19"/>
      <c r="F162" s="19"/>
      <c r="G162" s="19"/>
      <c r="H162" s="104"/>
      <c r="I162" s="160"/>
      <c r="J162" s="38"/>
      <c r="K162" s="76"/>
      <c r="L162" s="76"/>
      <c r="M162" s="76"/>
      <c r="N162" s="76"/>
      <c r="O162" s="76"/>
      <c r="P162" s="76"/>
      <c r="Q162" s="76"/>
      <c r="R162" s="76"/>
      <c r="S162" s="76"/>
      <c r="Y162" s="78"/>
    </row>
    <row r="163" spans="1:25" ht="19.5" customHeight="1">
      <c r="A163" s="48">
        <v>19</v>
      </c>
      <c r="B163" s="49" t="s">
        <v>256</v>
      </c>
      <c r="C163" s="115" t="s">
        <v>0</v>
      </c>
      <c r="D163" s="42" t="s">
        <v>0</v>
      </c>
      <c r="E163" s="166">
        <f>+E165</f>
        <v>41666.666666666664</v>
      </c>
      <c r="F163" s="166">
        <f>+F165</f>
        <v>500000</v>
      </c>
      <c r="G163" s="42"/>
      <c r="H163" s="98"/>
      <c r="I163" s="153"/>
      <c r="J163" s="5"/>
      <c r="K163" s="50"/>
      <c r="L163" s="50"/>
      <c r="M163" s="50"/>
      <c r="P163" s="47"/>
      <c r="R163" s="5"/>
      <c r="S163" s="5"/>
      <c r="V163" s="4"/>
      <c r="W163" s="4"/>
    </row>
    <row r="164" spans="1:25" s="77" customFormat="1" ht="19.5" customHeight="1">
      <c r="A164" s="37" t="s">
        <v>0</v>
      </c>
      <c r="B164" s="79" t="s">
        <v>0</v>
      </c>
      <c r="C164" s="19"/>
      <c r="D164" s="19"/>
      <c r="E164" s="19"/>
      <c r="F164" s="19"/>
      <c r="G164" s="19"/>
      <c r="H164" s="104"/>
      <c r="I164" s="160"/>
      <c r="J164" s="38"/>
      <c r="K164" s="76"/>
      <c r="L164" s="76"/>
      <c r="M164" s="76"/>
      <c r="N164" s="76"/>
      <c r="O164" s="76"/>
      <c r="P164" s="76"/>
      <c r="Q164" s="76"/>
      <c r="R164" s="76"/>
      <c r="S164" s="76"/>
      <c r="Y164" s="78"/>
    </row>
    <row r="165" spans="1:25" ht="19.5" customHeight="1">
      <c r="A165" s="45" t="s">
        <v>257</v>
      </c>
      <c r="B165" s="51" t="s">
        <v>258</v>
      </c>
      <c r="C165" s="36">
        <v>83333.333333333328</v>
      </c>
      <c r="D165" s="36">
        <v>1000000</v>
      </c>
      <c r="E165" s="106">
        <f>+F165/12</f>
        <v>41666.666666666664</v>
      </c>
      <c r="F165" s="106">
        <v>500000</v>
      </c>
      <c r="G165" s="95">
        <f>+F165-D165</f>
        <v>-500000</v>
      </c>
      <c r="H165" s="98"/>
      <c r="I165" s="153"/>
      <c r="K165" s="5"/>
      <c r="L165" s="5"/>
      <c r="M165" s="5"/>
      <c r="N165" s="5"/>
      <c r="O165" s="5"/>
    </row>
    <row r="166" spans="1:25" ht="19.5" customHeight="1" thickBot="1">
      <c r="A166" s="37"/>
      <c r="B166" s="79"/>
      <c r="C166" s="104"/>
      <c r="D166" s="104"/>
      <c r="E166" s="19"/>
      <c r="F166" s="19"/>
      <c r="G166" s="19"/>
      <c r="H166" s="104"/>
      <c r="I166" s="160"/>
      <c r="J166" s="30"/>
      <c r="K166" s="5"/>
      <c r="L166" s="5"/>
      <c r="M166" s="5"/>
      <c r="N166" s="5"/>
      <c r="O166" s="5"/>
    </row>
    <row r="167" spans="1:25" ht="19.5" customHeight="1" thickBot="1">
      <c r="A167" s="172"/>
      <c r="B167" s="172" t="s">
        <v>259</v>
      </c>
      <c r="C167" s="173">
        <f>+D167/12</f>
        <v>8683206.8393829558</v>
      </c>
      <c r="D167" s="173">
        <f>SUM(D52:D165)+D31+D41+D42+D46+D47+D48+D50</f>
        <v>104198482.07259548</v>
      </c>
      <c r="E167" s="174">
        <f>+E31+E39+E44+E50+E55+E60+E64+E71+E81+E85+E91+E96+E101+E109+E120+E128+E133+E140+E148+E153+E159+E163</f>
        <v>7282759.7608700003</v>
      </c>
      <c r="F167" s="174">
        <f>+F31+F39+F44+F50+F55+F60+F64+F71+F81+F85+F91+F96+F101+F109+F120+F128+F133+F140+F148+F153+F159+F163</f>
        <v>87393117.130439997</v>
      </c>
      <c r="G167" s="110">
        <f>+F167-D167</f>
        <v>-16805364.94215548</v>
      </c>
      <c r="H167" s="98"/>
      <c r="I167" s="153"/>
      <c r="J167" s="30"/>
      <c r="K167" s="5"/>
      <c r="L167" s="5"/>
      <c r="M167" s="5"/>
      <c r="N167" s="5"/>
      <c r="O167" s="5"/>
      <c r="X167" s="5" t="s">
        <v>0</v>
      </c>
    </row>
    <row r="168" spans="1:25" ht="19.5" customHeight="1">
      <c r="A168" s="37"/>
      <c r="B168" s="43"/>
      <c r="C168" s="98"/>
      <c r="D168" s="105"/>
      <c r="E168" s="42"/>
      <c r="F168" s="80"/>
      <c r="G168" s="80"/>
      <c r="H168" s="105"/>
      <c r="I168" s="161"/>
      <c r="J168" s="30"/>
      <c r="K168" s="5"/>
      <c r="L168" s="5"/>
      <c r="M168" s="5"/>
      <c r="N168" s="5"/>
      <c r="O168" s="5"/>
    </row>
    <row r="169" spans="1:25" ht="19.5" customHeight="1">
      <c r="A169" s="81">
        <v>20</v>
      </c>
      <c r="B169" s="82" t="s">
        <v>260</v>
      </c>
      <c r="C169" s="116"/>
      <c r="D169" s="98" t="s">
        <v>0</v>
      </c>
      <c r="E169" s="42"/>
      <c r="F169" s="42" t="s">
        <v>0</v>
      </c>
      <c r="G169" s="42"/>
      <c r="H169" s="98"/>
      <c r="I169" s="153"/>
      <c r="J169" s="30"/>
    </row>
    <row r="170" spans="1:25" ht="19.5" customHeight="1">
      <c r="A170" s="81" t="s">
        <v>261</v>
      </c>
      <c r="B170" s="82" t="s">
        <v>262</v>
      </c>
      <c r="C170" s="115"/>
      <c r="D170" s="42"/>
      <c r="E170" s="183">
        <f>SUM(E172:E174)</f>
        <v>571250</v>
      </c>
      <c r="F170" s="183">
        <f>SUM(F172:F174)</f>
        <v>6855000</v>
      </c>
      <c r="G170" s="42"/>
      <c r="H170" s="98"/>
      <c r="I170" s="153"/>
      <c r="J170" s="30"/>
    </row>
    <row r="171" spans="1:25" ht="19.5" customHeight="1">
      <c r="A171" s="37"/>
      <c r="B171" s="43"/>
      <c r="C171" s="98"/>
      <c r="D171" s="105"/>
      <c r="E171" s="42"/>
      <c r="F171" s="80"/>
      <c r="G171" s="80"/>
      <c r="H171" s="105"/>
      <c r="I171" s="161"/>
      <c r="J171" s="30"/>
      <c r="K171" s="5"/>
      <c r="L171" s="5"/>
      <c r="M171" s="5"/>
      <c r="N171" s="5"/>
      <c r="O171" s="5"/>
    </row>
    <row r="172" spans="1:25" ht="19.5" customHeight="1">
      <c r="A172" s="29" t="s">
        <v>263</v>
      </c>
      <c r="B172" s="68" t="s">
        <v>264</v>
      </c>
      <c r="C172" s="36">
        <f>+D172/12</f>
        <v>375000</v>
      </c>
      <c r="D172" s="36">
        <v>4500000</v>
      </c>
      <c r="E172" s="106">
        <f>+F172/12</f>
        <v>375000</v>
      </c>
      <c r="F172" s="106">
        <v>4500000</v>
      </c>
      <c r="G172" s="95">
        <f>+F172-D172</f>
        <v>0</v>
      </c>
      <c r="H172" s="98"/>
      <c r="I172" s="164" t="s">
        <v>199</v>
      </c>
      <c r="J172" s="30"/>
    </row>
    <row r="173" spans="1:25" ht="19.5" customHeight="1">
      <c r="A173" s="29" t="s">
        <v>265</v>
      </c>
      <c r="B173" s="46" t="s">
        <v>266</v>
      </c>
      <c r="C173" s="36">
        <v>125000</v>
      </c>
      <c r="D173" s="36">
        <v>1500000</v>
      </c>
      <c r="E173" s="106">
        <f>+F173/12</f>
        <v>31250</v>
      </c>
      <c r="F173" s="106">
        <v>375000</v>
      </c>
      <c r="G173" s="95">
        <f>+F173-D173</f>
        <v>-1125000</v>
      </c>
      <c r="H173" s="98"/>
      <c r="I173" s="164" t="s">
        <v>267</v>
      </c>
      <c r="J173" s="30"/>
      <c r="K173" s="83" t="s">
        <v>268</v>
      </c>
      <c r="L173" s="5"/>
      <c r="M173" s="5"/>
      <c r="N173" s="5"/>
    </row>
    <row r="174" spans="1:25" ht="19.5" customHeight="1">
      <c r="A174" s="29" t="s">
        <v>269</v>
      </c>
      <c r="B174" s="46" t="s">
        <v>270</v>
      </c>
      <c r="C174" s="36">
        <f>+D174/12</f>
        <v>165000</v>
      </c>
      <c r="D174" s="36">
        <v>1980000</v>
      </c>
      <c r="E174" s="106">
        <f>+F174/12</f>
        <v>165000</v>
      </c>
      <c r="F174" s="106">
        <v>1980000</v>
      </c>
      <c r="G174" s="95">
        <f>+F174-D174</f>
        <v>0</v>
      </c>
      <c r="H174" s="98"/>
      <c r="I174" s="164" t="s">
        <v>199</v>
      </c>
      <c r="J174" s="30"/>
      <c r="K174" s="5"/>
      <c r="L174" s="5"/>
      <c r="M174" s="5"/>
      <c r="N174" s="5"/>
    </row>
    <row r="175" spans="1:25" ht="19.5" customHeight="1">
      <c r="A175" s="37"/>
      <c r="B175" s="79"/>
      <c r="C175" s="19"/>
      <c r="D175" s="19"/>
      <c r="E175" s="19"/>
      <c r="F175" s="19"/>
      <c r="G175" s="19"/>
      <c r="H175" s="104"/>
      <c r="I175" s="160"/>
      <c r="J175" s="30"/>
      <c r="K175" s="5"/>
      <c r="L175" s="5"/>
      <c r="M175" s="5"/>
      <c r="N175" s="5"/>
    </row>
    <row r="176" spans="1:25" ht="19.5" customHeight="1">
      <c r="A176" s="172"/>
      <c r="B176" s="172" t="s">
        <v>271</v>
      </c>
      <c r="C176" s="36">
        <f>SUM(C172:C174)</f>
        <v>665000</v>
      </c>
      <c r="D176" s="36">
        <f>SUM(D172:D174)</f>
        <v>7980000</v>
      </c>
      <c r="E176" s="174">
        <f>SUM(E172:E174)</f>
        <v>571250</v>
      </c>
      <c r="F176" s="174">
        <f>SUM(F172:F174)</f>
        <v>6855000</v>
      </c>
      <c r="G176" s="95">
        <f>+F176-D176</f>
        <v>-1125000</v>
      </c>
      <c r="H176" s="98"/>
      <c r="I176" s="153"/>
      <c r="J176" s="30"/>
      <c r="K176" s="5"/>
      <c r="L176" s="5"/>
      <c r="M176" s="5"/>
      <c r="N176" s="5"/>
    </row>
    <row r="177" spans="1:14" ht="19.5" customHeight="1">
      <c r="A177" s="37"/>
      <c r="B177" s="79"/>
      <c r="C177" s="19"/>
      <c r="D177" s="19"/>
      <c r="E177" s="19"/>
      <c r="F177" s="19"/>
      <c r="G177" s="19"/>
      <c r="H177" s="104"/>
      <c r="I177" s="160"/>
      <c r="J177" s="30"/>
      <c r="K177" s="5"/>
      <c r="L177" s="5"/>
      <c r="M177" s="5"/>
      <c r="N177" s="5"/>
    </row>
    <row r="178" spans="1:14" ht="19.5" customHeight="1">
      <c r="A178" s="175">
        <v>21</v>
      </c>
      <c r="B178" s="176" t="s">
        <v>272</v>
      </c>
      <c r="C178" s="113"/>
      <c r="D178" s="112" t="s">
        <v>0</v>
      </c>
      <c r="E178" s="184">
        <f>+E180+E182</f>
        <v>3292231.9891666668</v>
      </c>
      <c r="F178" s="184">
        <f>+F180+F182</f>
        <v>39506783.870000005</v>
      </c>
      <c r="G178" s="112"/>
      <c r="H178" s="98"/>
      <c r="I178" s="153"/>
      <c r="J178" s="30"/>
      <c r="K178" s="5"/>
      <c r="L178" s="5"/>
      <c r="M178" s="5"/>
      <c r="N178" s="5"/>
    </row>
    <row r="179" spans="1:14" ht="19.5" customHeight="1">
      <c r="A179" s="37"/>
      <c r="B179" s="79"/>
      <c r="C179" s="19"/>
      <c r="D179" s="19"/>
      <c r="E179" s="19"/>
      <c r="F179" s="19"/>
      <c r="G179" s="19"/>
      <c r="H179" s="104"/>
      <c r="I179" s="160"/>
      <c r="J179" s="30"/>
      <c r="K179" s="5"/>
      <c r="L179" s="5"/>
      <c r="M179" s="5"/>
      <c r="N179" s="5"/>
    </row>
    <row r="180" spans="1:14" ht="19.5" customHeight="1">
      <c r="A180" s="29">
        <v>21.01</v>
      </c>
      <c r="B180" s="84" t="s">
        <v>273</v>
      </c>
      <c r="C180" s="36">
        <f>+C11</f>
        <v>1158333.3333333333</v>
      </c>
      <c r="D180" s="36">
        <f>+D11</f>
        <v>13900000</v>
      </c>
      <c r="E180" s="106">
        <f>+E11</f>
        <v>1040000</v>
      </c>
      <c r="F180" s="106">
        <f>+F11</f>
        <v>12480000</v>
      </c>
      <c r="G180" s="95">
        <f>+F180-D180</f>
        <v>-1420000</v>
      </c>
      <c r="H180" s="98"/>
      <c r="I180" s="153"/>
      <c r="J180" s="30"/>
      <c r="K180" s="5"/>
      <c r="L180" s="5"/>
      <c r="M180" s="5"/>
      <c r="N180" s="5"/>
    </row>
    <row r="181" spans="1:14" ht="19.5" customHeight="1">
      <c r="A181" s="37"/>
      <c r="B181" s="79"/>
      <c r="C181" s="19"/>
      <c r="D181" s="19"/>
      <c r="E181" s="19"/>
      <c r="F181" s="19"/>
      <c r="G181" s="19"/>
      <c r="H181" s="104"/>
      <c r="I181" s="160"/>
      <c r="J181" s="30"/>
      <c r="K181" s="5"/>
      <c r="L181" s="5"/>
      <c r="M181" s="5"/>
      <c r="N181" s="5"/>
    </row>
    <row r="182" spans="1:14" ht="19.5" customHeight="1">
      <c r="A182" s="29">
        <v>21.02</v>
      </c>
      <c r="B182" s="167" t="s">
        <v>274</v>
      </c>
      <c r="C182" s="147"/>
      <c r="D182" s="36">
        <v>2018857.93</v>
      </c>
      <c r="E182" s="106">
        <f>+F182/12</f>
        <v>2252231.9891666668</v>
      </c>
      <c r="F182" s="106">
        <v>27026783.870000001</v>
      </c>
      <c r="G182" s="95">
        <f>+F182-D182</f>
        <v>25007925.940000001</v>
      </c>
      <c r="H182" s="98"/>
      <c r="I182" s="153"/>
      <c r="J182" s="30"/>
      <c r="K182" s="5"/>
      <c r="L182" s="5"/>
      <c r="M182" s="5"/>
      <c r="N182" s="5"/>
    </row>
    <row r="183" spans="1:14" ht="19.5" customHeight="1" thickBot="1">
      <c r="A183" s="37"/>
      <c r="B183" s="79"/>
      <c r="C183" s="19"/>
      <c r="D183" s="19"/>
      <c r="E183" s="19"/>
      <c r="F183" s="19"/>
      <c r="G183" s="19"/>
      <c r="H183" s="104"/>
      <c r="I183" s="160"/>
      <c r="J183" s="30"/>
      <c r="K183" s="5"/>
      <c r="L183" s="5"/>
      <c r="M183" s="5"/>
      <c r="N183" s="5"/>
    </row>
    <row r="184" spans="1:14" ht="19.5" customHeight="1" thickBot="1">
      <c r="A184" s="172"/>
      <c r="B184" s="172" t="s">
        <v>275</v>
      </c>
      <c r="C184" s="36" t="s">
        <v>0</v>
      </c>
      <c r="D184" s="36">
        <f>+D180+D182</f>
        <v>15918857.93</v>
      </c>
      <c r="E184" s="174">
        <f>+E180+E182</f>
        <v>3292231.9891666668</v>
      </c>
      <c r="F184" s="174">
        <f>+F180+F182</f>
        <v>39506783.870000005</v>
      </c>
      <c r="G184" s="142">
        <f>+F184-D184</f>
        <v>23587925.940000005</v>
      </c>
      <c r="H184" s="98"/>
      <c r="I184" s="153"/>
      <c r="J184" s="30"/>
      <c r="K184" s="5"/>
      <c r="L184" s="5"/>
      <c r="M184" s="5"/>
      <c r="N184" s="5"/>
    </row>
    <row r="185" spans="1:14" ht="19.5" customHeight="1">
      <c r="A185" s="28"/>
      <c r="B185" s="79"/>
      <c r="C185" s="19"/>
      <c r="D185" s="19"/>
      <c r="E185" s="19"/>
      <c r="F185" s="19"/>
      <c r="G185" s="19"/>
      <c r="H185" s="104"/>
      <c r="I185" s="160"/>
      <c r="J185" s="30"/>
      <c r="K185" s="5"/>
      <c r="L185" s="5"/>
      <c r="M185" s="5"/>
      <c r="N185" s="5"/>
    </row>
    <row r="186" spans="1:14" ht="19.5" customHeight="1">
      <c r="A186" s="85"/>
      <c r="B186" s="177" t="s">
        <v>276</v>
      </c>
      <c r="C186" s="117"/>
      <c r="D186" s="118" t="s">
        <v>0</v>
      </c>
      <c r="E186" s="118"/>
      <c r="F186" s="118" t="s">
        <v>0</v>
      </c>
      <c r="G186" s="118"/>
      <c r="H186" s="53"/>
      <c r="I186" s="156"/>
      <c r="K186" s="5"/>
      <c r="L186" s="5"/>
      <c r="M186" s="5"/>
      <c r="N186" s="5"/>
    </row>
    <row r="187" spans="1:14" ht="19.5" customHeight="1">
      <c r="A187" s="85"/>
      <c r="B187" s="178" t="s">
        <v>277</v>
      </c>
      <c r="C187" s="86">
        <f>D187/12</f>
        <v>11633333.333333334</v>
      </c>
      <c r="D187" s="86">
        <f>+D27</f>
        <v>139600000</v>
      </c>
      <c r="E187" s="106">
        <f>F187/12</f>
        <v>11146241.75</v>
      </c>
      <c r="F187" s="106">
        <f>+F27</f>
        <v>133754901</v>
      </c>
      <c r="G187" s="95">
        <f>+F187-D187</f>
        <v>-5845099</v>
      </c>
      <c r="H187" s="98"/>
      <c r="I187" s="153"/>
      <c r="K187" s="5"/>
      <c r="L187" s="5"/>
      <c r="M187" s="5"/>
      <c r="N187" s="5"/>
    </row>
    <row r="188" spans="1:14" ht="19.5" customHeight="1">
      <c r="A188" s="85"/>
      <c r="B188" s="179" t="s">
        <v>278</v>
      </c>
      <c r="C188" s="86">
        <f>D188/12</f>
        <v>8683206.8393829558</v>
      </c>
      <c r="D188" s="86">
        <f>+D167</f>
        <v>104198482.07259548</v>
      </c>
      <c r="E188" s="106">
        <f>F188/12</f>
        <v>7282759.7608699994</v>
      </c>
      <c r="F188" s="106">
        <f>+F167</f>
        <v>87393117.130439997</v>
      </c>
      <c r="G188" s="95">
        <f>+F188-D188</f>
        <v>-16805364.94215548</v>
      </c>
      <c r="H188" s="98"/>
      <c r="I188" s="153"/>
      <c r="J188" s="4" t="s">
        <v>0</v>
      </c>
      <c r="K188" s="5"/>
      <c r="L188" s="5"/>
      <c r="M188" s="5"/>
      <c r="N188" s="5"/>
    </row>
    <row r="189" spans="1:14" ht="19.5" customHeight="1">
      <c r="A189" s="85"/>
      <c r="B189" s="180" t="s">
        <v>279</v>
      </c>
      <c r="C189" s="86">
        <f>D189/12</f>
        <v>665000</v>
      </c>
      <c r="D189" s="86">
        <f>+D176</f>
        <v>7980000</v>
      </c>
      <c r="E189" s="106">
        <f>F189/12</f>
        <v>571250</v>
      </c>
      <c r="F189" s="106">
        <f>+F176</f>
        <v>6855000</v>
      </c>
      <c r="G189" s="95">
        <f>+F189-D189</f>
        <v>-1125000</v>
      </c>
      <c r="H189" s="98"/>
      <c r="I189" s="153"/>
      <c r="K189" s="5"/>
      <c r="L189" s="5"/>
      <c r="M189" s="5"/>
      <c r="N189" s="5"/>
    </row>
    <row r="190" spans="1:14" ht="19.5" customHeight="1">
      <c r="A190" s="85"/>
      <c r="B190" s="181" t="s">
        <v>280</v>
      </c>
      <c r="C190" s="86">
        <f>D190/12</f>
        <v>1158333.3333333333</v>
      </c>
      <c r="D190" s="86">
        <f>+D180</f>
        <v>13900000</v>
      </c>
      <c r="E190" s="106">
        <f>F190/12</f>
        <v>1040000</v>
      </c>
      <c r="F190" s="106">
        <f>+F180</f>
        <v>12480000</v>
      </c>
      <c r="G190" s="95">
        <f>+F190-D190</f>
        <v>-1420000</v>
      </c>
      <c r="H190" s="98"/>
      <c r="I190" s="153"/>
      <c r="K190" s="5"/>
      <c r="L190" s="5"/>
      <c r="M190" s="5"/>
      <c r="N190" s="5"/>
    </row>
    <row r="191" spans="1:14" ht="19.5" customHeight="1">
      <c r="A191" s="85"/>
      <c r="B191" s="181" t="s">
        <v>281</v>
      </c>
      <c r="C191" s="86">
        <f>D191/12</f>
        <v>168238.16083333333</v>
      </c>
      <c r="D191" s="86">
        <f>+D182</f>
        <v>2018857.93</v>
      </c>
      <c r="E191" s="106">
        <f>F191/12</f>
        <v>2252231.9891666668</v>
      </c>
      <c r="F191" s="106">
        <f>+F182</f>
        <v>27026783.870000001</v>
      </c>
      <c r="G191" s="95">
        <f>+F191-D191</f>
        <v>25007925.940000001</v>
      </c>
      <c r="H191" s="98"/>
      <c r="I191" s="153"/>
      <c r="K191" s="5"/>
      <c r="L191" s="5"/>
      <c r="M191" s="5"/>
      <c r="N191" s="5"/>
    </row>
    <row r="192" spans="1:14" ht="19.5" customHeight="1" thickBot="1">
      <c r="A192" s="28"/>
      <c r="B192" s="79"/>
      <c r="C192" s="19"/>
      <c r="D192" s="19"/>
      <c r="E192" s="19"/>
      <c r="F192" s="19"/>
      <c r="G192" s="19"/>
      <c r="H192" s="104"/>
      <c r="I192" s="160"/>
      <c r="K192" s="5"/>
      <c r="L192" s="5"/>
      <c r="M192" s="5"/>
      <c r="N192" s="5"/>
    </row>
    <row r="193" spans="1:14" ht="19.5" customHeight="1" thickBot="1">
      <c r="A193" s="85"/>
      <c r="B193" s="92" t="s">
        <v>282</v>
      </c>
      <c r="C193" s="93">
        <f>+C187-C188-C190-C189-C191</f>
        <v>958554.99978371151</v>
      </c>
      <c r="D193" s="93">
        <f>+D187-D188-D190-D189-D191</f>
        <v>11502659.997404523</v>
      </c>
      <c r="E193" s="93">
        <f>+E187-E188-E190-E189-E191</f>
        <v>-3.6666169762611389E-5</v>
      </c>
      <c r="F193" s="93">
        <f>+F187-F188-F190-F189-F191</f>
        <v>-4.3999776244163513E-4</v>
      </c>
      <c r="G193" s="143">
        <f>+F193-D193</f>
        <v>-11502659.997844521</v>
      </c>
      <c r="H193" s="98"/>
      <c r="I193" s="153"/>
      <c r="K193" s="5"/>
      <c r="L193" s="5"/>
      <c r="M193" s="5"/>
      <c r="N193" s="5"/>
    </row>
    <row r="194" spans="1:14" ht="19.5" customHeight="1">
      <c r="A194" s="87"/>
      <c r="B194" s="88" t="s">
        <v>0</v>
      </c>
      <c r="C194" s="89"/>
      <c r="D194" s="89"/>
      <c r="E194" s="89"/>
      <c r="F194" s="89"/>
      <c r="G194" s="89"/>
      <c r="H194" s="130"/>
      <c r="I194" s="162"/>
    </row>
  </sheetData>
  <sheetProtection selectLockedCells="1" selectUnlockedCells="1"/>
  <mergeCells count="5">
    <mergeCell ref="B1:D1"/>
    <mergeCell ref="B2:D2"/>
    <mergeCell ref="B3:D3"/>
    <mergeCell ref="C5:D5"/>
    <mergeCell ref="E5:F5"/>
  </mergeCells>
  <pageMargins left="0.70833333333333337" right="0.70833333333333337" top="0.74791666666666667" bottom="0.74791666666666667" header="0.51180555555555551" footer="0.51180555555555551"/>
  <pageSetup scale="84" firstPageNumber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Harold</dc:creator>
  <cp:keywords/>
  <dc:description/>
  <cp:lastModifiedBy>Publico</cp:lastModifiedBy>
  <cp:revision/>
  <dcterms:created xsi:type="dcterms:W3CDTF">2018-01-26T23:52:47Z</dcterms:created>
  <dcterms:modified xsi:type="dcterms:W3CDTF">2022-09-26T22:02:45Z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